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20" windowWidth="21900" windowHeight="12495" activeTab="0"/>
  </bookViews>
  <sheets>
    <sheet name="Front Page" sheetId="1" r:id="rId1"/>
    <sheet name="Covered Bond Series" sheetId="2" r:id="rId2"/>
    <sheet name="Ratings" sheetId="3" r:id="rId3"/>
    <sheet name="Tests Royal Decree" sheetId="4" r:id="rId4"/>
    <sheet name="Cover Pool Summary" sheetId="5" r:id="rId5"/>
    <sheet name="Stratification Tables Mortgages" sheetId="6" r:id="rId6"/>
    <sheet name="Performance" sheetId="7" r:id="rId7"/>
    <sheet name="Amortisation Profiles" sheetId="8" r:id="rId8"/>
    <sheet name="Definitions" sheetId="9" r:id="rId9"/>
    <sheet name="Disclaimer" sheetId="10" r:id="rId10"/>
  </sheets>
  <definedNames>
    <definedName name="_xlnm.Print_Area" localSheetId="7">'Amortisation Profiles'!$B$4:$I$39</definedName>
    <definedName name="_xlnm.Print_Area" localSheetId="4">'Cover Pool Summary'!$B$2:$I$62</definedName>
    <definedName name="_xlnm.Print_Area" localSheetId="1">'Covered Bond Series'!$B$2:$M$19</definedName>
    <definedName name="_xlnm.Print_Area" localSheetId="8">'Definitions'!$B$2:$E$30</definedName>
    <definedName name="_xlnm.Print_Area" localSheetId="9">'Disclaimer'!$B$2:$M$40</definedName>
    <definedName name="_xlnm.Print_Area" localSheetId="0">'Front Page'!$A$1:$K$36</definedName>
    <definedName name="_xlnm.Print_Area" localSheetId="6">'Performance'!$B$2:$I$58</definedName>
    <definedName name="_xlnm.Print_Area" localSheetId="2">'Ratings'!$B$2:$E$16</definedName>
    <definedName name="_xlnm.Print_Area" localSheetId="5">'Stratification Tables Mortgages'!$B$2:$F$276</definedName>
    <definedName name="_xlnm.Print_Area" localSheetId="3">'Tests Royal Decree'!$B$2:$E$63</definedName>
    <definedName name="ULU0ISQL101P_QFPM_MCB_CB1_CoveredBondsOutstanding" localSheetId="1">'Covered Bond Series'!$B$4:$L$8</definedName>
  </definedNames>
  <calcPr fullCalcOnLoad="1" iterate="1" iterateCount="100" iterateDelta="0.001"/>
</workbook>
</file>

<file path=xl/sharedStrings.xml><?xml version="1.0" encoding="utf-8"?>
<sst xmlns="http://schemas.openxmlformats.org/spreadsheetml/2006/main" count="528" uniqueCount="423">
  <si>
    <t>Contact Details:</t>
  </si>
  <si>
    <t>Carol Wandels</t>
  </si>
  <si>
    <t>Bart Verwaest</t>
  </si>
  <si>
    <t>Peter Degroote</t>
  </si>
  <si>
    <t>Ellen Van Steen</t>
  </si>
  <si>
    <t>0032 2 222 7064</t>
  </si>
  <si>
    <t>0032 2 222 7122</t>
  </si>
  <si>
    <t>Christine Lepage</t>
  </si>
  <si>
    <t>0032 2 222 7028</t>
  </si>
  <si>
    <t>0032 2 222 7018</t>
  </si>
  <si>
    <t>0032 2 222 7083</t>
  </si>
  <si>
    <t>Wilfried Wouters</t>
  </si>
  <si>
    <t>0032 2 222 5718</t>
  </si>
  <si>
    <t>wilfried.wouters@belfius.be</t>
  </si>
  <si>
    <t>ellen.vansteen@belfius.be</t>
  </si>
  <si>
    <t>christine.lepage@belfius.be</t>
  </si>
  <si>
    <t>bart.verwaest@belfius.be</t>
  </si>
  <si>
    <t>carol.wandels@belfius.be</t>
  </si>
  <si>
    <t>peter.degroote@belfius.be</t>
  </si>
  <si>
    <t>Website</t>
  </si>
  <si>
    <t>https://www.belfius.be/financial/NL/Debt/index.aspx</t>
  </si>
  <si>
    <t>Series</t>
  </si>
  <si>
    <t>ISIN</t>
  </si>
  <si>
    <t>Currency</t>
  </si>
  <si>
    <t>Outstanding Amount</t>
  </si>
  <si>
    <t>Issue Date</t>
  </si>
  <si>
    <t>Maturity Date</t>
  </si>
  <si>
    <t>Coupon Type</t>
  </si>
  <si>
    <t>Coupon</t>
  </si>
  <si>
    <t>Day Count</t>
  </si>
  <si>
    <t>Next Interest Payment Date</t>
  </si>
  <si>
    <t>Extended Maturity Date</t>
  </si>
  <si>
    <t>BE0002419910</t>
  </si>
  <si>
    <t>EUR</t>
  </si>
  <si>
    <t>Fixed</t>
  </si>
  <si>
    <t>Act/Act ICMA</t>
  </si>
  <si>
    <t>BE0002421932</t>
  </si>
  <si>
    <t>BE0002422948</t>
  </si>
  <si>
    <t>BE0002423953</t>
  </si>
  <si>
    <t>Standard and Poor's</t>
  </si>
  <si>
    <t>Fitch</t>
  </si>
  <si>
    <t>Moody's</t>
  </si>
  <si>
    <t>A-</t>
  </si>
  <si>
    <t>negative</t>
  </si>
  <si>
    <t>stable</t>
  </si>
  <si>
    <t>Baa1</t>
  </si>
  <si>
    <t>P-2</t>
  </si>
  <si>
    <t>Reporting Date:</t>
  </si>
  <si>
    <t>Outstanding Series</t>
  </si>
  <si>
    <t>Totals</t>
  </si>
  <si>
    <t>Weighted Average Remaining Average Life: *</t>
  </si>
  <si>
    <t>Total Outstanding (in EUR):</t>
  </si>
  <si>
    <t>Current Weighted Average Fixed Coupon:</t>
  </si>
  <si>
    <t>Belfius Mortgage Pandbrieven Ratings</t>
  </si>
  <si>
    <t>AAA</t>
  </si>
  <si>
    <t>Rating</t>
  </si>
  <si>
    <t>Long Term Rating</t>
  </si>
  <si>
    <t>Short Term Rating</t>
  </si>
  <si>
    <t>Outlook</t>
  </si>
  <si>
    <t>F1</t>
  </si>
  <si>
    <t>A-2</t>
  </si>
  <si>
    <t>outlook</t>
  </si>
  <si>
    <t>Belfius Bank Senior Unsecured Ratings</t>
  </si>
  <si>
    <t>Head of Treasury</t>
  </si>
  <si>
    <t>Long Term Funding (new issues and investor contact)</t>
  </si>
  <si>
    <t>Outstanding Mortgage Pandbrieven:</t>
  </si>
  <si>
    <t xml:space="preserve">  --&gt; Cover Test Royal Decree Article 5 § 1 (&gt; 85%)</t>
  </si>
  <si>
    <t>Pass</t>
  </si>
  <si>
    <t>--&gt; Cover Test Royal Decree Article 5 § 2 (&gt; 105%)</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</si>
  <si>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</si>
  <si>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</si>
  <si>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</si>
  <si>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</si>
  <si>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</si>
  <si>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</si>
  <si>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</si>
  <si>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Cumulative Cash Inflow Next 180 Days</t>
  </si>
  <si>
    <t>Cumulative Cash Outflow Next 180 Days</t>
  </si>
  <si>
    <t>Test Summary</t>
  </si>
  <si>
    <t>(all amounts in EUR unless stated otherwise)</t>
  </si>
  <si>
    <t>-</t>
  </si>
  <si>
    <t>* At the Reporting Date until Maturity Date</t>
  </si>
  <si>
    <t>(i)</t>
  </si>
  <si>
    <t>(ii)</t>
  </si>
  <si>
    <t>(iii)</t>
  </si>
  <si>
    <t>(iv)</t>
  </si>
  <si>
    <t>Value of the Residential Mortgage Loans (as defined in Royal Decree Article 6 § 2):</t>
  </si>
  <si>
    <t>(v)</t>
  </si>
  <si>
    <t>(vi)</t>
  </si>
  <si>
    <t>(vii)</t>
  </si>
  <si>
    <t>(viii)</t>
  </si>
  <si>
    <t>(ix)</t>
  </si>
  <si>
    <t xml:space="preserve">Principal Requirements Covered Bonds: </t>
  </si>
  <si>
    <t xml:space="preserve">Costs, Fees and Expenses Related to Covered Bonds: </t>
  </si>
  <si>
    <t xml:space="preserve">Interest Requirement Covered Bonds: </t>
  </si>
  <si>
    <t xml:space="preserve">Principal Proceeds Cover Assets: </t>
  </si>
  <si>
    <t xml:space="preserve">Interest Proceeds Cover Assets: </t>
  </si>
  <si>
    <t>(x)</t>
  </si>
  <si>
    <t>(xi)</t>
  </si>
  <si>
    <t>2. Residential Mortgage Loans Cover Test</t>
  </si>
  <si>
    <t>3. Total Asset Cover Test</t>
  </si>
  <si>
    <t>4. Interest and Principal Coverage Test</t>
  </si>
  <si>
    <t>Remaining Average Life *</t>
  </si>
  <si>
    <t>Cover Pool Summary</t>
  </si>
  <si>
    <t>Portfolio Cut-off Date</t>
  </si>
  <si>
    <t>Outstanding Balance of Residential Mortgage Loans at the Cut-off Date</t>
  </si>
  <si>
    <t>Principal Redemptions between Cut-off Date and Reporting Date</t>
  </si>
  <si>
    <t>Number of borrowers</t>
  </si>
  <si>
    <t>Average Outstanding Balance per borrower</t>
  </si>
  <si>
    <t>Weighted average seasoning (in months)</t>
  </si>
  <si>
    <t>Weighted average Original Loan to Initial Value</t>
  </si>
  <si>
    <t>Weighted average Current Loan to Current Value</t>
  </si>
  <si>
    <t>average</t>
  </si>
  <si>
    <t>Balance in EUR</t>
  </si>
  <si>
    <t>0 - 10%</t>
  </si>
  <si>
    <t>10 - 20%</t>
  </si>
  <si>
    <t>20 - 30%</t>
  </si>
  <si>
    <t>30 - 40%</t>
  </si>
  <si>
    <t>40 - 50%</t>
  </si>
  <si>
    <t>50 - 60%</t>
  </si>
  <si>
    <t>60 - 70%</t>
  </si>
  <si>
    <t>70 - 80%</t>
  </si>
  <si>
    <t>80 - 90%</t>
  </si>
  <si>
    <t>90 - 100%</t>
  </si>
  <si>
    <t>--&gt; 85.21%</t>
  </si>
  <si>
    <t>100 - 110%</t>
  </si>
  <si>
    <t>110 - 120%</t>
  </si>
  <si>
    <t>&gt; 120%</t>
  </si>
  <si>
    <t>Original Loan to Initial Value</t>
  </si>
  <si>
    <t>--&gt; 94.03%</t>
  </si>
  <si>
    <t>Current Loan to Current Value</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</si>
  <si>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</si>
  <si>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</si>
  <si>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</si>
  <si>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</si>
  <si>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</si>
  <si>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</si>
  <si>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</si>
  <si>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</si>
  <si>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</si>
  <si>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</si>
  <si>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</si>
  <si>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</si>
  <si>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</si>
  <si>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</si>
  <si>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</si>
  <si>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</si>
  <si>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</si>
  <si>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Distribution of Outstanding Loan Balance</t>
  </si>
  <si>
    <t>in EUR 1000</t>
  </si>
  <si>
    <t>Number of Clients</t>
  </si>
  <si>
    <t>0 - 50</t>
  </si>
  <si>
    <t>50 - 100</t>
  </si>
  <si>
    <t>100 - 150</t>
  </si>
  <si>
    <t>150 - 200</t>
  </si>
  <si>
    <t>200 - 250</t>
  </si>
  <si>
    <t>250 - 300</t>
  </si>
  <si>
    <t>300 - 350</t>
  </si>
  <si>
    <t>350 - 400</t>
  </si>
  <si>
    <t>400 - 450</t>
  </si>
  <si>
    <t>450 - 500</t>
  </si>
  <si>
    <t>500 - 550</t>
  </si>
  <si>
    <t>550 - 600</t>
  </si>
  <si>
    <t>600 - 650</t>
  </si>
  <si>
    <t>650 - 700</t>
  </si>
  <si>
    <t>700 - 750</t>
  </si>
  <si>
    <t>750 - 800</t>
  </si>
  <si>
    <t>800 - 850</t>
  </si>
  <si>
    <t>850 - 900</t>
  </si>
  <si>
    <t>900 - 950</t>
  </si>
  <si>
    <t>950 - 1000</t>
  </si>
  <si>
    <t xml:space="preserve"> &gt; 1000</t>
  </si>
  <si>
    <t>Initial term to maturity</t>
  </si>
  <si>
    <t>in years</t>
  </si>
  <si>
    <t>0 - 2</t>
  </si>
  <si>
    <t>2 - 4</t>
  </si>
  <si>
    <t>4 - 6</t>
  </si>
  <si>
    <t>6 - 8</t>
  </si>
  <si>
    <t>8 - 10</t>
  </si>
  <si>
    <t>10 - 12</t>
  </si>
  <si>
    <t>12 - 14</t>
  </si>
  <si>
    <t>14 - 16</t>
  </si>
  <si>
    <t>16 - 18</t>
  </si>
  <si>
    <t>18 - 20</t>
  </si>
  <si>
    <t>20 - 22</t>
  </si>
  <si>
    <t>22 - 24</t>
  </si>
  <si>
    <t>24 - 26</t>
  </si>
  <si>
    <t>26 - 28</t>
  </si>
  <si>
    <t>28 - 30</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</si>
  <si>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</si>
  <si>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</si>
  <si>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</si>
  <si>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</si>
  <si>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</si>
  <si>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</si>
  <si>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</si>
  <si>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</si>
  <si>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</si>
  <si>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</si>
  <si>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</si>
  <si>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</si>
  <si>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</si>
  <si>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</si>
  <si>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</si>
  <si>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</si>
  <si>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</si>
  <si>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</si>
  <si>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</si>
  <si>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</si>
  <si>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</si>
  <si>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</si>
  <si>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 10%</t>
  </si>
  <si>
    <t>0 - 20%</t>
  </si>
  <si>
    <t>20 - 40%</t>
  </si>
  <si>
    <t>40 - 60%</t>
  </si>
  <si>
    <t>60 - 80%</t>
  </si>
  <si>
    <t>80 - 100%</t>
  </si>
  <si>
    <t>--&gt; 71.55%</t>
  </si>
  <si>
    <t>100 - 120%</t>
  </si>
  <si>
    <t>120 - 140%</t>
  </si>
  <si>
    <t>140 - 160%</t>
  </si>
  <si>
    <t>160 - 180%</t>
  </si>
  <si>
    <t>180 - 200%</t>
  </si>
  <si>
    <t>200 - 300%</t>
  </si>
  <si>
    <t>300 - 400%</t>
  </si>
  <si>
    <t>400 - 500%</t>
  </si>
  <si>
    <t xml:space="preserve"> &gt; 500%</t>
  </si>
  <si>
    <t>Loan to Mortgage Inscription Ratio (LTM)</t>
  </si>
  <si>
    <t>Interest Type</t>
  </si>
  <si>
    <t>Type</t>
  </si>
  <si>
    <t>5/5/5</t>
  </si>
  <si>
    <t>10/5/5</t>
  </si>
  <si>
    <t>3/3/3</t>
  </si>
  <si>
    <t>1/1/1</t>
  </si>
  <si>
    <t>15/5/5</t>
  </si>
  <si>
    <t>20/5/5</t>
  </si>
  <si>
    <t>1.5/1/1</t>
  </si>
  <si>
    <t>2/2/2</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</si>
  <si>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</si>
  <si>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</si>
  <si>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</si>
  <si>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</si>
  <si>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</si>
  <si>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</si>
  <si>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</si>
  <si>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</si>
  <si>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</si>
  <si>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</si>
  <si>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</si>
  <si>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</si>
  <si>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</si>
  <si>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</si>
  <si>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</si>
  <si>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</si>
  <si>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</si>
  <si>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</si>
  <si>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</si>
  <si>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</si>
  <si>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</si>
  <si>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</si>
  <si>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</si>
  <si>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</si>
  <si>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</si>
  <si>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</si>
  <si>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</si>
  <si>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</si>
  <si>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</si>
  <si>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</si>
  <si>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</si>
  <si>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</si>
  <si>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</si>
  <si>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</si>
  <si>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</si>
  <si>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</si>
  <si>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</si>
  <si>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</si>
  <si>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</si>
  <si>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</si>
  <si>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</si>
  <si>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</si>
  <si>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</si>
  <si>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</si>
  <si>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 25</t>
  </si>
  <si>
    <t>Geographic distribution</t>
  </si>
  <si>
    <t>Province</t>
  </si>
  <si>
    <t>Brussel</t>
  </si>
  <si>
    <t>Brabant Wallon</t>
  </si>
  <si>
    <t>Liège</t>
  </si>
  <si>
    <t>Namur</t>
  </si>
  <si>
    <t>Luxembourg</t>
  </si>
  <si>
    <t>Hainaut</t>
  </si>
  <si>
    <t>Vlaams Brabant</t>
  </si>
  <si>
    <t>Antwerpen</t>
  </si>
  <si>
    <t>Limburg</t>
  </si>
  <si>
    <t>West-Vlaanderen</t>
  </si>
  <si>
    <t>Oost-Vlaanderen</t>
  </si>
  <si>
    <t>Data not in IT system</t>
  </si>
  <si>
    <t>Repayment Type</t>
  </si>
  <si>
    <t>annuity</t>
  </si>
  <si>
    <t>linear amortisation</t>
  </si>
  <si>
    <t>progressive amortisation</t>
  </si>
  <si>
    <t>bullet / IO</t>
  </si>
  <si>
    <t>Number of loans</t>
  </si>
  <si>
    <t>Average Outstanding Balance per loan</t>
  </si>
  <si>
    <t>Weighted average remaining maturity (in years, at 0% CPR)</t>
  </si>
  <si>
    <t>Weighted average initial maturity (in years, at 0% CPR)</t>
  </si>
  <si>
    <t>1. Residential Mortgage Loans</t>
  </si>
  <si>
    <t>2. Registered Cash</t>
  </si>
  <si>
    <t>Registered Cash Proceeds under the Residential Mortgage Loans</t>
  </si>
  <si>
    <t>3. Public Sector Exposure (Liquid Bond Positions)</t>
  </si>
  <si>
    <t>Position 1</t>
  </si>
  <si>
    <t>Position 2</t>
  </si>
  <si>
    <t>Position 3</t>
  </si>
  <si>
    <t>Position 4</t>
  </si>
  <si>
    <t>Position 5</t>
  </si>
  <si>
    <t>Issuer Name</t>
  </si>
  <si>
    <t>Nominal Amount</t>
  </si>
  <si>
    <t>ECB Haircut</t>
  </si>
  <si>
    <t>Standar &amp; Poor's Rating</t>
  </si>
  <si>
    <t>Fitch Rating</t>
  </si>
  <si>
    <t>Moody's Rating</t>
  </si>
  <si>
    <t>Mark-to-Market Value</t>
  </si>
  <si>
    <t>Accounting Value</t>
  </si>
  <si>
    <t>BE0000300096</t>
  </si>
  <si>
    <t>Kingdom of Belgium</t>
  </si>
  <si>
    <t>OLO 40</t>
  </si>
  <si>
    <t>AA</t>
  </si>
  <si>
    <t>Aa3</t>
  </si>
  <si>
    <t>See Stratification Tables Mortgages for more details</t>
  </si>
  <si>
    <t>4. Derivatives</t>
  </si>
  <si>
    <t>None</t>
  </si>
  <si>
    <t>Stratification Tables Residential Mortgage Loans</t>
  </si>
  <si>
    <t>Date of Previous report:</t>
  </si>
  <si>
    <t>EUR 10 Billion Mortgage Pandbrieven Programme</t>
  </si>
  <si>
    <t>Nominal Balance Residential Mortgage Loans</t>
  </si>
  <si>
    <t>Nominal Balance Public Finance Exposures</t>
  </si>
  <si>
    <t>Nominal Balance Financial Institution Exposures</t>
  </si>
  <si>
    <t>1. Outstanding Mortgage Pandbrieven and Cover Assets</t>
  </si>
  <si>
    <t>Nominal OC Level [(ii)+(iii)+(iv)]/(i) - 1</t>
  </si>
  <si>
    <t xml:space="preserve">  --&gt; Issuer Covenant (iv) Prospectus (&gt; 105%)</t>
  </si>
  <si>
    <t>Ratio Value of the Residential Mortgage Loans / Mortgage Pandbrieven Issued (v)/(i):</t>
  </si>
  <si>
    <t>Ratio Value of all Cover Assets / Mortgage Pandbrieven Issued [(v)+(vi)+(vii)]/(i) :</t>
  </si>
  <si>
    <t>(xii)</t>
  </si>
  <si>
    <t>Total Surplus (+) / Deficit (-) (viii)+(ix)-(x)-(xi)-(xii)</t>
  </si>
  <si>
    <t>(xiii)</t>
  </si>
  <si>
    <t>(xiv)</t>
  </si>
  <si>
    <t>Liquidity Surplus (+) / Deficit (-) (xiii)+(xiv)</t>
  </si>
  <si>
    <t>Value of Public Finance Exposures (definition Royal Decree):</t>
  </si>
  <si>
    <t>Value of Financial Institution Exposures (definition Royal Decree):</t>
  </si>
  <si>
    <t>Mark-to-Market Liquid Bonds minus ECB Haircut</t>
  </si>
  <si>
    <t>Interest Payable on Mortgage Pandbrieven next 12 months</t>
  </si>
  <si>
    <t>(xv)</t>
  </si>
  <si>
    <t>(xvi)</t>
  </si>
  <si>
    <t>Excess Coverage Interest Mortgage Pandbrieven by Liquid Bonds (xv)-(xvi)</t>
  </si>
  <si>
    <t>5. Liquidity Tests</t>
  </si>
  <si>
    <t>(xvii)</t>
  </si>
  <si>
    <t xml:space="preserve">  --&gt; Issuer Covenant (vii) Prospectus ((xvii) &gt; 0)</t>
  </si>
  <si>
    <t xml:space="preserve">  --&gt; Liquidity Test Royal Decree Article 7 § 1 </t>
  </si>
  <si>
    <t xml:space="preserve">  --&gt; Cover Test Royal Decree Article 5 §3 (Amortisation Test)</t>
  </si>
  <si>
    <t>Interest Payments between Cut-off Date and Reporting Date</t>
  </si>
  <si>
    <t>Cover Pool Performance</t>
  </si>
  <si>
    <t>0 - 30 Days</t>
  </si>
  <si>
    <t>Performing</t>
  </si>
  <si>
    <t>30 - 60 Days</t>
  </si>
  <si>
    <t>60 - 90 Days</t>
  </si>
  <si>
    <t>&gt; 90 Days</t>
  </si>
  <si>
    <t>Total</t>
  </si>
  <si>
    <t>2. Prepayments Past Month</t>
  </si>
  <si>
    <t>Full Prepayments</t>
  </si>
  <si>
    <t>Partial Prepayments</t>
  </si>
  <si>
    <t>Total Prepayments</t>
  </si>
  <si>
    <t>Monthly %</t>
  </si>
  <si>
    <t>Annualised %</t>
  </si>
  <si>
    <t>in EUR</t>
  </si>
  <si>
    <t>in %</t>
  </si>
  <si>
    <t>1. Delinquencies (at cut-off date)</t>
  </si>
  <si>
    <t>in number of loans</t>
  </si>
  <si>
    <t>Month</t>
  </si>
  <si>
    <t>0-30 Days</t>
  </si>
  <si>
    <t>&gt; 30 Days</t>
  </si>
  <si>
    <t>Prepayments</t>
  </si>
  <si>
    <t>CPR</t>
  </si>
  <si>
    <t>Outstanding Residential Mortgage Loans (0% CPR)</t>
  </si>
  <si>
    <t>Outstanding Residential Mortgage Loans (2% CPR)</t>
  </si>
  <si>
    <t>Outstanding Residential Mortgage Loans (5% CPR)</t>
  </si>
  <si>
    <t>Outstanding Residential Mortgage Loans (10% CPR)</t>
  </si>
  <si>
    <t>Covered bonds (until maturity date)</t>
  </si>
  <si>
    <t>Assets (in EUR)</t>
  </si>
  <si>
    <t>Liabities (in EUR)</t>
  </si>
  <si>
    <t>Remaining average life (in years, at 0% CPR)</t>
  </si>
  <si>
    <t>Remaining average life (in years, at 2% CPR)</t>
  </si>
  <si>
    <t>Remaining average life (in years, at 5% CPR)</t>
  </si>
  <si>
    <t>Remaining average life (in years, at 10% CPR)</t>
  </si>
  <si>
    <t>Remaining average life to interest reset (in years, at 0% CPR)</t>
  </si>
  <si>
    <t>Percentage of Fixed Rate Loans</t>
  </si>
  <si>
    <t>Percentage of Resettable Rate Loans</t>
  </si>
  <si>
    <t>Weighted average interest rate</t>
  </si>
  <si>
    <t>Weighted average interest rate Fixed Rate Loans</t>
  </si>
  <si>
    <t>Weighted average interest rate Resettable Rate Loans</t>
  </si>
  <si>
    <t>Definitions and Remarks</t>
  </si>
  <si>
    <t>Interest and Principal coverage Test</t>
  </si>
  <si>
    <t>Costs, Fees and Expenses Related to Covered Bonds are simulated based on the assumption of a fixed amount of  EUR 5 million p.a. and 7 bp on the outstanding mortgage loan balance.</t>
  </si>
  <si>
    <t>Liquidity Test</t>
  </si>
  <si>
    <t>The liquidity test is done as defined in the Royal Decree. The liquidity test is done at the most conservative CPR assuption, being the CPR at which the cash flow comes in at the  slowest speed, being 0% CPR</t>
  </si>
  <si>
    <t>Distribution of Average Life to Final Maturity (at 0% CPR)</t>
  </si>
  <si>
    <t>Distribution of Average Life To Interest Reset Date (at 0% CPR)</t>
  </si>
  <si>
    <t>The interest type "Fixed" means that the interest rate of a loan is fixed during the entire life of the loan. The interest types "X/Y/Y" are interest types whereby the loan has a first fixed interest period of Y years followed by fixed interest periods of X years. A 10/5/5 is hence a loan that has an interest rate that is fixed during the first 10 years after which it will have fixed interest periods of 5 year. The interest resets are legally defined in Belgium and are based on the OLO rates.</t>
  </si>
  <si>
    <r>
      <t xml:space="preserve">The annual percentage (CPR) is defined as:  </t>
    </r>
    <r>
      <rPr>
        <i/>
        <sz val="11"/>
        <color indexed="8"/>
        <rFont val="Calibri"/>
        <family val="2"/>
      </rPr>
      <t>1 - (1 - monthly percentage) ^ 12</t>
    </r>
  </si>
  <si>
    <r>
      <t xml:space="preserve">The monthly percentage is defined as:  </t>
    </r>
    <r>
      <rPr>
        <i/>
        <sz val="11"/>
        <color indexed="8"/>
        <rFont val="Calibri"/>
        <family val="2"/>
      </rPr>
      <t>Amount Prepaid during the month / (Initial Balance - Scheduled Payments)</t>
    </r>
  </si>
  <si>
    <t>Amortisation Profiles</t>
  </si>
  <si>
    <t>No yield compression is assumed in the calculations provided in this report where CPR assumptions different from 0% are used.</t>
  </si>
  <si>
    <t>The interest and principal coverage test is done at the CPR which is derived from Belfius internal Prepayment model. This CPR changes over time.</t>
  </si>
  <si>
    <t>Original Loan to Initial Value is defined as the ratio of the sum of the initial (active) credit opening a client has been granted divided by the sum of the initial property values on which Belfius has been granted a first ranking mortgage inscription by the client. Properties on which Belfius has no first ranking inscriptions as well as any other guarantee Belfius has obtained are excluded for the purpose of this calculation.</t>
  </si>
  <si>
    <t>Current Loan to Current Value is defined as the ratio of the sum of the current balance of all residential mortgage loans a client has with Belfius divided by the sum of the current property values on which Belfius has been granted a first ranking mortgage inscription by the client. Properties on which Belfius has no first ranking inscriptions as well as any other guarantee Belfius has obtained are excluded for the purpose of this calculation. The current property value is the value derived after indexation.</t>
  </si>
  <si>
    <t>The Loan to Mortgage Inscription (LTM) gives the ratio between the sum of the current balance of all residential mortgage loans a client has with Belfius divided by the sum of all first and subsequent ranking mortgage inscriptions which the client has granted to Belfius. In case this ratio is in excess of 100%, the part above 100% is typically secured by a mandate.</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</si>
  <si>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</si>
  <si>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</si>
  <si>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 xml:space="preserve">This document is prepared by Belfius Bank NV/SA, Boulevard Pacheco 44, 1000 Brussels, Belgium (herein referred as ‘Belfius Bank’) on behalf of itself.
This document is published purely for the purposes of information, it contains no offer or invitation for the purchase or sale of financial instruments, does not comprise investment advice and is not confirmation of any transaction.
The information in this document has been treated with all reasonable care. Nevertheless errors or omissions cannot be excluded and no warranty can be given as to the completeness of the information of this document. 
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Belfius Bank cannot be held liable for any direct or indirect damage or loss resulting from the use of this document.
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
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
The information is not intended for persons who are resident in the United States or who are physically present in the United States and the Mortgage Pandbrieven are not or will not be registered under the US Securities Act of 1933 as amended and the Mortgage Pandbrieven may not be offered or sold within the United States or to, or for the account or benefit of US persons, except in certain circumstances exempt from the registration requirements of the Securities Act.
Potential users of this document and each investor is encouraged to contact its local regulatory authorities to determine whether any restrictions apply to their ability to purchase investments to which this report refers.
This report is made available to you for information purposes and this report or any part of it may not be reproduced, distributed or published without the prior written consent of Belfius Bank. All rights reserved.
</t>
  </si>
  <si>
    <t>Disclaimer</t>
  </si>
  <si>
    <t>Asset Based Solutions (cover pool and programme management)</t>
  </si>
  <si>
    <t>Remark</t>
  </si>
  <si>
    <t xml:space="preserve">The investor report is provided in pdf and excel-format. </t>
  </si>
  <si>
    <t>The excel-format has been provided for information purposes only and in case of contradiction between the pdf and excel-format, the pdf-format will prevail.</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</si>
</sst>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E_U_R_-;\-* #,##0.00\ _E_U_R_-;_-* &quot;-&quot;??\ _E_U_R_-;_-@_-"/>
    <numFmt numFmtId="165" formatCode="0.000%"/>
    <numFmt numFmtId="166" formatCode="#,##0.00_ ;\-#,##0.00\ "/>
    <numFmt numFmtId="167" formatCode="#,##0_ ;\-#,##0\ "/>
    <numFmt numFmtId="168" formatCode="m/d/yyyy"/>
  </numFmts>
  <fonts count="48">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4"/>
      <color indexed="8"/>
      <name val="Calibri"/>
      <family val="2"/>
    </font>
    <font>
      <sz val="10"/>
      <color indexed="8"/>
      <name val="Calibri"/>
      <family val="2"/>
    </font>
    <font>
      <i/>
      <sz val="11"/>
      <color indexed="8"/>
      <name val="Calibri"/>
      <family val="2"/>
    </font>
    <font>
      <b/>
      <sz val="10"/>
      <name val="Arial"/>
      <family val="2"/>
    </font>
    <font>
      <sz val="10"/>
      <name val="Arial"/>
      <family val="2"/>
    </font>
    <font>
      <sz val="11"/>
      <color indexed="17"/>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2"/>
      <color theme="1"/>
      <name val="Calibri"/>
      <family val="2"/>
    </font>
    <font>
      <i/>
      <sz val="11"/>
      <color theme="1"/>
      <name val="Calibri"/>
      <family val="2"/>
    </font>
    <font>
      <b/>
      <sz val="14"/>
      <color theme="1"/>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3">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horizontal="center"/>
    </xf>
    <xf numFmtId="3" fontId="0" fillId="33" borderId="10" xfId="0" applyNumberFormat="1" applyFill="1" applyBorder="1" applyAlignment="1">
      <alignment horizontal="center"/>
    </xf>
    <xf numFmtId="0" fontId="0" fillId="33" borderId="11" xfId="0" applyFill="1" applyBorder="1" applyAlignment="1">
      <alignment/>
    </xf>
    <xf numFmtId="0" fontId="0" fillId="33" borderId="11" xfId="0" applyFill="1" applyBorder="1" applyAlignment="1">
      <alignment horizontal="center"/>
    </xf>
    <xf numFmtId="3" fontId="0" fillId="33" borderId="11" xfId="0" applyNumberFormat="1" applyFill="1" applyBorder="1" applyAlignment="1">
      <alignment horizontal="center"/>
    </xf>
    <xf numFmtId="4" fontId="0" fillId="33" borderId="11" xfId="0" applyNumberFormat="1" applyFill="1" applyBorder="1" applyAlignment="1">
      <alignment horizontal="center"/>
    </xf>
    <xf numFmtId="0" fontId="43" fillId="33" borderId="10" xfId="0" applyFont="1" applyFill="1" applyBorder="1" applyAlignment="1">
      <alignment horizontal="center"/>
    </xf>
    <xf numFmtId="0" fontId="43" fillId="33" borderId="11" xfId="0" applyFont="1" applyFill="1" applyBorder="1" applyAlignment="1">
      <alignment horizontal="center"/>
    </xf>
    <xf numFmtId="14" fontId="0" fillId="33" borderId="10" xfId="0" applyNumberFormat="1" applyFill="1" applyBorder="1" applyAlignment="1">
      <alignment/>
    </xf>
    <xf numFmtId="0" fontId="44" fillId="34" borderId="0" xfId="0" applyFont="1" applyFill="1" applyAlignment="1">
      <alignment/>
    </xf>
    <xf numFmtId="0" fontId="0" fillId="34" borderId="0" xfId="0" applyFill="1" applyAlignment="1">
      <alignment/>
    </xf>
    <xf numFmtId="3" fontId="0" fillId="34" borderId="0" xfId="0" applyNumberFormat="1" applyFill="1" applyAlignment="1">
      <alignment/>
    </xf>
    <xf numFmtId="0" fontId="45" fillId="34" borderId="0" xfId="0" applyFont="1" applyFill="1" applyAlignment="1" quotePrefix="1">
      <alignment/>
    </xf>
    <xf numFmtId="0" fontId="45" fillId="34" borderId="0" xfId="0" applyFont="1" applyFill="1" applyAlignment="1">
      <alignment horizontal="right"/>
    </xf>
    <xf numFmtId="0" fontId="41" fillId="34" borderId="0" xfId="0" applyFont="1" applyFill="1" applyAlignment="1">
      <alignment/>
    </xf>
    <xf numFmtId="0" fontId="46" fillId="34" borderId="0" xfId="0" applyFont="1" applyFill="1" applyAlignment="1">
      <alignment/>
    </xf>
    <xf numFmtId="0" fontId="0" fillId="34" borderId="0" xfId="0" applyFill="1" applyAlignment="1">
      <alignment horizontal="center"/>
    </xf>
    <xf numFmtId="0" fontId="0" fillId="34" borderId="0" xfId="0" applyFill="1" applyAlignment="1">
      <alignment horizontal="center" vertical="center" wrapText="1"/>
    </xf>
    <xf numFmtId="0" fontId="0" fillId="34" borderId="0" xfId="0" applyFill="1" applyBorder="1" applyAlignment="1">
      <alignment/>
    </xf>
    <xf numFmtId="0" fontId="0" fillId="34" borderId="0" xfId="0" applyFill="1" applyBorder="1" applyAlignment="1">
      <alignment horizontal="center"/>
    </xf>
    <xf numFmtId="0" fontId="43" fillId="34" borderId="0" xfId="0" applyFont="1" applyFill="1" applyBorder="1" applyAlignment="1">
      <alignment horizontal="center"/>
    </xf>
    <xf numFmtId="0" fontId="0" fillId="34" borderId="11" xfId="0" applyFill="1" applyBorder="1" applyAlignment="1">
      <alignment/>
    </xf>
    <xf numFmtId="0" fontId="0" fillId="34" borderId="11" xfId="0" applyFill="1" applyBorder="1" applyAlignment="1">
      <alignment horizontal="center"/>
    </xf>
    <xf numFmtId="0" fontId="43" fillId="34" borderId="11" xfId="0" applyFont="1" applyFill="1" applyBorder="1" applyAlignment="1">
      <alignment horizontal="center"/>
    </xf>
    <xf numFmtId="0" fontId="43" fillId="34" borderId="0" xfId="0" applyFont="1" applyFill="1" applyAlignment="1">
      <alignment horizontal="center"/>
    </xf>
    <xf numFmtId="3" fontId="0" fillId="34" borderId="0" xfId="0" applyNumberFormat="1" applyFill="1" applyAlignment="1">
      <alignment horizontal="center"/>
    </xf>
    <xf numFmtId="14" fontId="0" fillId="34" borderId="0" xfId="0" applyNumberFormat="1" applyFill="1" applyAlignment="1">
      <alignment horizontal="center"/>
    </xf>
    <xf numFmtId="165" fontId="0" fillId="34" borderId="0" xfId="0" applyNumberFormat="1" applyFill="1" applyAlignment="1">
      <alignment horizontal="center"/>
    </xf>
    <xf numFmtId="3" fontId="0" fillId="34" borderId="0" xfId="0" applyNumberFormat="1" applyFill="1" applyAlignment="1">
      <alignment horizontal="center" vertical="center" wrapText="1"/>
    </xf>
    <xf numFmtId="14" fontId="0" fillId="34" borderId="0" xfId="0" applyNumberFormat="1" applyFill="1" applyAlignment="1">
      <alignment horizontal="center" vertical="center" wrapText="1"/>
    </xf>
    <xf numFmtId="165" fontId="0" fillId="34" borderId="0" xfId="0" applyNumberFormat="1" applyFill="1" applyAlignment="1">
      <alignment horizontal="center" vertical="center" wrapText="1"/>
    </xf>
    <xf numFmtId="0" fontId="0" fillId="34" borderId="0" xfId="0" applyFill="1" applyAlignment="1">
      <alignment vertical="center" wrapText="1"/>
    </xf>
    <xf numFmtId="2" fontId="0" fillId="34" borderId="0" xfId="0" applyNumberFormat="1" applyFill="1" applyAlignment="1">
      <alignment horizontal="center"/>
    </xf>
    <xf numFmtId="3" fontId="0" fillId="34" borderId="0" xfId="0" applyNumberFormat="1" applyFill="1" applyBorder="1" applyAlignment="1">
      <alignment horizontal="center"/>
    </xf>
    <xf numFmtId="165" fontId="0" fillId="34" borderId="0" xfId="57" applyNumberFormat="1" applyFont="1" applyFill="1" applyBorder="1" applyAlignment="1">
      <alignment horizontal="center"/>
    </xf>
    <xf numFmtId="0" fontId="43" fillId="34" borderId="0" xfId="0" applyFont="1" applyFill="1" applyAlignment="1">
      <alignment/>
    </xf>
    <xf numFmtId="0" fontId="0" fillId="33" borderId="0" xfId="0" applyFill="1" applyAlignment="1">
      <alignment horizontal="center"/>
    </xf>
    <xf numFmtId="3" fontId="0" fillId="33" borderId="0" xfId="0" applyNumberFormat="1" applyFill="1" applyAlignment="1">
      <alignment horizontal="center"/>
    </xf>
    <xf numFmtId="14" fontId="0" fillId="33" borderId="0" xfId="0" applyNumberFormat="1" applyFill="1" applyAlignment="1">
      <alignment horizontal="center"/>
    </xf>
    <xf numFmtId="165" fontId="0" fillId="33" borderId="0" xfId="0" applyNumberFormat="1" applyFill="1" applyAlignment="1">
      <alignment horizontal="center"/>
    </xf>
    <xf numFmtId="2" fontId="0" fillId="33" borderId="0" xfId="0" applyNumberFormat="1" applyFill="1" applyAlignment="1">
      <alignment horizontal="center"/>
    </xf>
    <xf numFmtId="3" fontId="0" fillId="34" borderId="0" xfId="0" applyNumberFormat="1" applyFill="1" applyBorder="1" applyAlignment="1">
      <alignment/>
    </xf>
    <xf numFmtId="0" fontId="45" fillId="34" borderId="0" xfId="0" applyFont="1" applyFill="1" applyBorder="1" applyAlignment="1">
      <alignment/>
    </xf>
    <xf numFmtId="0" fontId="45" fillId="34" borderId="11" xfId="0" applyFont="1" applyFill="1" applyBorder="1" applyAlignment="1" quotePrefix="1">
      <alignment/>
    </xf>
    <xf numFmtId="0" fontId="45" fillId="34" borderId="11" xfId="0" applyFont="1" applyFill="1" applyBorder="1" applyAlignment="1">
      <alignment horizontal="right"/>
    </xf>
    <xf numFmtId="3" fontId="0" fillId="33" borderId="10" xfId="0" applyNumberFormat="1" applyFill="1" applyBorder="1" applyAlignment="1">
      <alignment/>
    </xf>
    <xf numFmtId="0" fontId="0" fillId="33" borderId="0" xfId="0" applyFill="1" applyBorder="1" applyAlignment="1">
      <alignment/>
    </xf>
    <xf numFmtId="4" fontId="0" fillId="33" borderId="10" xfId="0" applyNumberFormat="1" applyFill="1" applyBorder="1" applyAlignment="1">
      <alignment/>
    </xf>
    <xf numFmtId="0" fontId="45" fillId="33" borderId="0" xfId="0" applyFont="1" applyFill="1" applyBorder="1" applyAlignment="1">
      <alignment/>
    </xf>
    <xf numFmtId="0" fontId="45" fillId="33" borderId="11" xfId="0" applyFont="1" applyFill="1" applyBorder="1" applyAlignment="1">
      <alignment/>
    </xf>
    <xf numFmtId="3" fontId="0" fillId="33" borderId="11" xfId="0" applyNumberFormat="1" applyFill="1" applyBorder="1" applyAlignment="1">
      <alignment/>
    </xf>
    <xf numFmtId="4" fontId="0" fillId="34" borderId="0" xfId="0" applyNumberFormat="1" applyFill="1" applyBorder="1" applyAlignment="1">
      <alignment/>
    </xf>
    <xf numFmtId="4" fontId="0" fillId="33" borderId="0" xfId="0" applyNumberFormat="1" applyFill="1" applyBorder="1" applyAlignment="1">
      <alignment/>
    </xf>
    <xf numFmtId="0" fontId="0" fillId="34" borderId="0" xfId="0" applyFill="1" applyAlignment="1">
      <alignment horizontal="right"/>
    </xf>
    <xf numFmtId="0" fontId="47" fillId="34" borderId="0" xfId="0" applyFont="1" applyFill="1" applyAlignment="1">
      <alignment/>
    </xf>
    <xf numFmtId="0" fontId="0" fillId="34" borderId="0" xfId="0" applyFont="1" applyFill="1" applyAlignment="1">
      <alignment/>
    </xf>
    <xf numFmtId="0" fontId="0" fillId="34" borderId="11" xfId="0" applyFill="1" applyBorder="1" applyAlignment="1">
      <alignment horizontal="right"/>
    </xf>
    <xf numFmtId="10" fontId="0" fillId="33" borderId="0" xfId="57" applyNumberFormat="1" applyFont="1" applyFill="1" applyBorder="1" applyAlignment="1">
      <alignment/>
    </xf>
    <xf numFmtId="10" fontId="0" fillId="34" borderId="0" xfId="57" applyNumberFormat="1" applyFont="1" applyFill="1" applyBorder="1" applyAlignment="1">
      <alignment/>
    </xf>
    <xf numFmtId="3" fontId="45" fillId="34" borderId="0" xfId="0" applyNumberFormat="1" applyFont="1" applyFill="1" applyBorder="1" applyAlignment="1">
      <alignment/>
    </xf>
    <xf numFmtId="3" fontId="45" fillId="33" borderId="0" xfId="0" applyNumberFormat="1" applyFont="1" applyFill="1" applyBorder="1" applyAlignment="1">
      <alignment/>
    </xf>
    <xf numFmtId="3" fontId="45" fillId="33" borderId="11" xfId="0" applyNumberFormat="1" applyFont="1" applyFill="1" applyBorder="1" applyAlignment="1">
      <alignment/>
    </xf>
    <xf numFmtId="14" fontId="0" fillId="34" borderId="0" xfId="0" applyNumberFormat="1" applyFill="1" applyAlignment="1">
      <alignment/>
    </xf>
    <xf numFmtId="0" fontId="0" fillId="34" borderId="0" xfId="0" applyFill="1" applyBorder="1" applyAlignment="1">
      <alignment horizontal="right"/>
    </xf>
    <xf numFmtId="0" fontId="9" fillId="34" borderId="11" xfId="0" applyFont="1" applyFill="1" applyBorder="1" applyAlignment="1">
      <alignment horizontal="right"/>
    </xf>
    <xf numFmtId="4" fontId="0" fillId="34" borderId="0" xfId="0" applyNumberFormat="1" applyFill="1" applyBorder="1" applyAlignment="1">
      <alignment horizontal="right"/>
    </xf>
    <xf numFmtId="0" fontId="0" fillId="34" borderId="11" xfId="0" applyFill="1" applyBorder="1" applyAlignment="1" quotePrefix="1">
      <alignment/>
    </xf>
    <xf numFmtId="10" fontId="0" fillId="34" borderId="11" xfId="57" applyNumberFormat="1" applyFont="1" applyFill="1" applyBorder="1" applyAlignment="1">
      <alignment/>
    </xf>
    <xf numFmtId="10" fontId="0" fillId="34" borderId="0" xfId="0" applyNumberFormat="1" applyFill="1" applyBorder="1" applyAlignment="1">
      <alignment/>
    </xf>
    <xf numFmtId="0" fontId="8" fillId="34" borderId="0" xfId="0" applyFont="1" applyFill="1" applyBorder="1" applyAlignment="1">
      <alignment/>
    </xf>
    <xf numFmtId="0" fontId="9" fillId="34" borderId="11" xfId="0" applyFont="1" applyFill="1" applyBorder="1" applyAlignment="1">
      <alignment/>
    </xf>
    <xf numFmtId="0" fontId="9" fillId="35" borderId="0" xfId="0" applyFont="1" applyFill="1" applyBorder="1" applyAlignment="1">
      <alignment horizontal="center"/>
    </xf>
    <xf numFmtId="10" fontId="0" fillId="35" borderId="11" xfId="57" applyNumberFormat="1" applyFont="1" applyFill="1" applyBorder="1" applyAlignment="1">
      <alignment horizontal="center"/>
    </xf>
    <xf numFmtId="4" fontId="0" fillId="34" borderId="11" xfId="0" applyNumberFormat="1" applyFill="1" applyBorder="1" applyAlignment="1">
      <alignment/>
    </xf>
    <xf numFmtId="14" fontId="0" fillId="34" borderId="0" xfId="0" applyNumberFormat="1" applyFill="1" applyBorder="1" applyAlignment="1" quotePrefix="1">
      <alignment/>
    </xf>
    <xf numFmtId="0" fontId="0" fillId="34" borderId="0" xfId="0" applyFill="1" applyBorder="1" applyAlignment="1" quotePrefix="1">
      <alignment/>
    </xf>
    <xf numFmtId="0" fontId="0" fillId="34" borderId="0" xfId="0" applyFont="1" applyFill="1" applyBorder="1" applyAlignment="1">
      <alignment/>
    </xf>
    <xf numFmtId="4" fontId="9" fillId="34" borderId="11" xfId="0" applyNumberFormat="1" applyFont="1" applyFill="1" applyBorder="1" applyAlignment="1">
      <alignment horizontal="right"/>
    </xf>
    <xf numFmtId="0" fontId="9" fillId="34" borderId="0" xfId="0" applyFont="1" applyFill="1" applyBorder="1" applyAlignment="1" quotePrefix="1">
      <alignment/>
    </xf>
    <xf numFmtId="0" fontId="9" fillId="34" borderId="11" xfId="0" applyFont="1" applyFill="1" applyBorder="1" applyAlignment="1" quotePrefix="1">
      <alignment/>
    </xf>
    <xf numFmtId="4" fontId="0" fillId="34" borderId="0" xfId="0" applyNumberFormat="1" applyFill="1" applyAlignment="1">
      <alignment/>
    </xf>
    <xf numFmtId="4" fontId="0" fillId="33" borderId="0" xfId="0" applyNumberFormat="1" applyFill="1" applyBorder="1" applyAlignment="1">
      <alignment horizontal="right"/>
    </xf>
    <xf numFmtId="0" fontId="0" fillId="33" borderId="11" xfId="0" applyFill="1" applyBorder="1" applyAlignment="1" quotePrefix="1">
      <alignment/>
    </xf>
    <xf numFmtId="4" fontId="0" fillId="33" borderId="11" xfId="0" applyNumberFormat="1" applyFill="1" applyBorder="1" applyAlignment="1">
      <alignment horizontal="right"/>
    </xf>
    <xf numFmtId="10" fontId="0" fillId="33" borderId="11" xfId="57" applyNumberFormat="1" applyFont="1" applyFill="1" applyBorder="1" applyAlignment="1">
      <alignment/>
    </xf>
    <xf numFmtId="3" fontId="0" fillId="33" borderId="0" xfId="0" applyNumberFormat="1" applyFill="1" applyBorder="1" applyAlignment="1">
      <alignment/>
    </xf>
    <xf numFmtId="0" fontId="9" fillId="33" borderId="11" xfId="0" applyFont="1" applyFill="1" applyBorder="1" applyAlignment="1">
      <alignment/>
    </xf>
    <xf numFmtId="4" fontId="0" fillId="33" borderId="11" xfId="0" applyNumberFormat="1" applyFill="1" applyBorder="1" applyAlignment="1">
      <alignment/>
    </xf>
    <xf numFmtId="0" fontId="0" fillId="33" borderId="0" xfId="0" applyFill="1" applyBorder="1" applyAlignment="1" quotePrefix="1">
      <alignment/>
    </xf>
    <xf numFmtId="0" fontId="9" fillId="33" borderId="0" xfId="0" applyFont="1" applyFill="1" applyBorder="1" applyAlignment="1" quotePrefix="1">
      <alignment/>
    </xf>
    <xf numFmtId="0" fontId="0" fillId="36" borderId="0" xfId="0" applyFont="1" applyFill="1" applyBorder="1" applyAlignment="1">
      <alignment horizontal="center"/>
    </xf>
    <xf numFmtId="4" fontId="0" fillId="36" borderId="0" xfId="0" applyNumberFormat="1" applyFont="1" applyFill="1" applyBorder="1" applyAlignment="1">
      <alignment horizontal="center"/>
    </xf>
    <xf numFmtId="14" fontId="0" fillId="36" borderId="0" xfId="0" applyNumberFormat="1" applyFont="1" applyFill="1" applyBorder="1" applyAlignment="1">
      <alignment horizontal="center"/>
    </xf>
    <xf numFmtId="165" fontId="0" fillId="36" borderId="0" xfId="57" applyNumberFormat="1" applyFont="1" applyFill="1" applyBorder="1" applyAlignment="1">
      <alignment horizontal="center"/>
    </xf>
    <xf numFmtId="0" fontId="0" fillId="37" borderId="10" xfId="0" applyFont="1" applyFill="1" applyBorder="1" applyAlignment="1">
      <alignment horizontal="center"/>
    </xf>
    <xf numFmtId="0" fontId="0" fillId="37" borderId="0" xfId="0" applyFont="1" applyFill="1" applyBorder="1" applyAlignment="1">
      <alignment horizontal="center"/>
    </xf>
    <xf numFmtId="0" fontId="0" fillId="33" borderId="0" xfId="0" applyFill="1" applyBorder="1" applyAlignment="1">
      <alignment horizontal="center"/>
    </xf>
    <xf numFmtId="4" fontId="0" fillId="37" borderId="0" xfId="0" applyNumberFormat="1" applyFont="1" applyFill="1" applyBorder="1" applyAlignment="1">
      <alignment horizontal="center"/>
    </xf>
    <xf numFmtId="14" fontId="0" fillId="37" borderId="0" xfId="0" applyNumberFormat="1" applyFont="1" applyFill="1" applyBorder="1" applyAlignment="1">
      <alignment horizontal="center"/>
    </xf>
    <xf numFmtId="165" fontId="0" fillId="37" borderId="0" xfId="57" applyNumberFormat="1" applyFont="1" applyFill="1" applyBorder="1" applyAlignment="1">
      <alignment horizontal="center"/>
    </xf>
    <xf numFmtId="4" fontId="0" fillId="37" borderId="11" xfId="0" applyNumberFormat="1" applyFont="1" applyFill="1" applyBorder="1" applyAlignment="1">
      <alignment horizontal="center"/>
    </xf>
    <xf numFmtId="2" fontId="0" fillId="34" borderId="0" xfId="0" applyNumberFormat="1" applyFill="1" applyBorder="1" applyAlignment="1">
      <alignment/>
    </xf>
    <xf numFmtId="10" fontId="0" fillId="33" borderId="0" xfId="0" applyNumberFormat="1" applyFill="1" applyBorder="1" applyAlignment="1">
      <alignment/>
    </xf>
    <xf numFmtId="2" fontId="0" fillId="33" borderId="0" xfId="0" applyNumberFormat="1" applyFill="1" applyBorder="1" applyAlignment="1">
      <alignment/>
    </xf>
    <xf numFmtId="0" fontId="0" fillId="34" borderId="12" xfId="0" applyFill="1" applyBorder="1" applyAlignment="1">
      <alignment/>
    </xf>
    <xf numFmtId="4" fontId="0" fillId="34" borderId="12" xfId="0" applyNumberFormat="1" applyFill="1" applyBorder="1" applyAlignment="1">
      <alignment/>
    </xf>
    <xf numFmtId="165" fontId="0" fillId="33" borderId="0" xfId="0" applyNumberFormat="1" applyFill="1" applyBorder="1" applyAlignment="1">
      <alignment/>
    </xf>
    <xf numFmtId="165" fontId="0" fillId="34" borderId="0" xfId="0" applyNumberFormat="1" applyFill="1" applyBorder="1" applyAlignment="1">
      <alignment/>
    </xf>
    <xf numFmtId="2" fontId="0" fillId="35" borderId="11" xfId="57" applyNumberFormat="1" applyFont="1" applyFill="1" applyBorder="1" applyAlignment="1">
      <alignment horizontal="center"/>
    </xf>
    <xf numFmtId="3" fontId="0" fillId="35" borderId="11" xfId="57" applyNumberFormat="1" applyFont="1" applyFill="1" applyBorder="1" applyAlignment="1">
      <alignment horizontal="center"/>
    </xf>
    <xf numFmtId="2" fontId="0" fillId="35" borderId="11" xfId="0" applyNumberFormat="1" applyFill="1" applyBorder="1" applyAlignment="1">
      <alignment horizontal="center"/>
    </xf>
    <xf numFmtId="0" fontId="9" fillId="35" borderId="0" xfId="0" applyFont="1" applyFill="1" applyBorder="1" applyAlignment="1">
      <alignment horizontal="center" vertical="center" wrapText="1"/>
    </xf>
    <xf numFmtId="10" fontId="45" fillId="33" borderId="0" xfId="57" applyNumberFormat="1" applyFont="1" applyFill="1" applyBorder="1" applyAlignment="1">
      <alignment horizontal="right"/>
    </xf>
    <xf numFmtId="0" fontId="45" fillId="34" borderId="11" xfId="0" applyFont="1" applyFill="1" applyBorder="1" applyAlignment="1">
      <alignment/>
    </xf>
    <xf numFmtId="10" fontId="45" fillId="34" borderId="11" xfId="57" applyNumberFormat="1" applyFont="1" applyFill="1" applyBorder="1" applyAlignment="1">
      <alignment horizontal="right"/>
    </xf>
    <xf numFmtId="0" fontId="46" fillId="34" borderId="0" xfId="0" applyFont="1" applyFill="1" applyBorder="1" applyAlignment="1">
      <alignment/>
    </xf>
    <xf numFmtId="10" fontId="0" fillId="34" borderId="0" xfId="57" applyNumberFormat="1" applyFont="1" applyFill="1" applyBorder="1" applyAlignment="1">
      <alignment horizontal="center"/>
    </xf>
    <xf numFmtId="166" fontId="0" fillId="34" borderId="0" xfId="42" applyNumberFormat="1" applyFont="1" applyFill="1" applyBorder="1" applyAlignment="1">
      <alignment horizontal="center"/>
    </xf>
    <xf numFmtId="3" fontId="0" fillId="34" borderId="0" xfId="42" applyNumberFormat="1" applyFont="1" applyFill="1" applyBorder="1" applyAlignment="1">
      <alignment horizontal="center"/>
    </xf>
    <xf numFmtId="166" fontId="0" fillId="34" borderId="12" xfId="0" applyNumberFormat="1" applyFill="1" applyBorder="1" applyAlignment="1">
      <alignment horizontal="center"/>
    </xf>
    <xf numFmtId="165" fontId="0" fillId="34" borderId="12" xfId="0" applyNumberFormat="1" applyFill="1" applyBorder="1" applyAlignment="1">
      <alignment horizontal="center"/>
    </xf>
    <xf numFmtId="4" fontId="0" fillId="33" borderId="10" xfId="0" applyNumberFormat="1" applyFill="1" applyBorder="1" applyAlignment="1">
      <alignment horizontal="center"/>
    </xf>
    <xf numFmtId="165" fontId="0" fillId="33" borderId="10" xfId="57" applyNumberFormat="1" applyFont="1" applyFill="1" applyBorder="1" applyAlignment="1">
      <alignment horizontal="center"/>
    </xf>
    <xf numFmtId="166" fontId="0" fillId="33" borderId="0" xfId="42" applyNumberFormat="1" applyFont="1" applyFill="1" applyBorder="1" applyAlignment="1">
      <alignment horizontal="center"/>
    </xf>
    <xf numFmtId="165" fontId="0" fillId="33" borderId="0" xfId="57" applyNumberFormat="1" applyFont="1" applyFill="1" applyBorder="1" applyAlignment="1">
      <alignment horizontal="center"/>
    </xf>
    <xf numFmtId="3" fontId="0" fillId="33" borderId="0" xfId="42" applyNumberFormat="1" applyFont="1" applyFill="1" applyBorder="1" applyAlignment="1">
      <alignment horizontal="center"/>
    </xf>
    <xf numFmtId="10" fontId="0" fillId="33" borderId="10" xfId="57" applyNumberFormat="1" applyFont="1" applyFill="1" applyBorder="1" applyAlignment="1">
      <alignment horizontal="center"/>
    </xf>
    <xf numFmtId="10" fontId="0" fillId="33" borderId="11" xfId="0" applyNumberFormat="1" applyFill="1" applyBorder="1" applyAlignment="1">
      <alignment horizontal="center"/>
    </xf>
    <xf numFmtId="10" fontId="0" fillId="33" borderId="11" xfId="57" applyNumberFormat="1" applyFont="1" applyFill="1" applyBorder="1" applyAlignment="1">
      <alignment horizontal="center"/>
    </xf>
    <xf numFmtId="165" fontId="0" fillId="34" borderId="0" xfId="0" applyNumberFormat="1" applyFill="1" applyAlignment="1">
      <alignment horizontal="right"/>
    </xf>
    <xf numFmtId="10" fontId="0" fillId="34" borderId="0" xfId="0" applyNumberFormat="1" applyFill="1" applyAlignment="1">
      <alignment horizontal="right"/>
    </xf>
    <xf numFmtId="0" fontId="0" fillId="34" borderId="0" xfId="0" applyNumberFormat="1" applyFill="1" applyAlignment="1">
      <alignment vertical="center" wrapText="1"/>
    </xf>
    <xf numFmtId="4" fontId="0" fillId="34" borderId="0" xfId="0" applyNumberFormat="1" applyFill="1" applyAlignment="1">
      <alignment vertical="center" wrapText="1"/>
    </xf>
    <xf numFmtId="165" fontId="0" fillId="34" borderId="11" xfId="0" applyNumberFormat="1" applyFill="1" applyBorder="1" applyAlignment="1">
      <alignment/>
    </xf>
    <xf numFmtId="0" fontId="0" fillId="34" borderId="0" xfId="0" applyFill="1" applyAlignment="1">
      <alignment wrapText="1"/>
    </xf>
    <xf numFmtId="167" fontId="0" fillId="34" borderId="12" xfId="0" applyNumberFormat="1" applyFill="1" applyBorder="1" applyAlignment="1">
      <alignment horizontal="center"/>
    </xf>
    <xf numFmtId="0" fontId="8" fillId="34" borderId="0" xfId="0" applyFont="1" applyFill="1" applyBorder="1" applyAlignment="1">
      <alignment horizontal="left" vertical="center" wrapText="1"/>
    </xf>
    <xf numFmtId="0" fontId="28" fillId="3" borderId="0" xfId="39" applyFill="1" applyAlignment="1">
      <alignment horizontal="center"/>
    </xf>
    <xf numFmtId="0" fontId="32" fillId="4" borderId="0" xfId="47" applyFill="1" applyAlignment="1">
      <alignment horizontal="center"/>
    </xf>
    <xf numFmtId="0" fontId="0" fillId="34" borderId="0" xfId="0" applyFill="1" applyAlignment="1">
      <alignment horizontal="center" wrapText="1"/>
    </xf>
    <xf numFmtId="0" fontId="46" fillId="34"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Delinquency History</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(Balance delinquent loans devided by total balance )</a:t>
            </a:r>
          </a:p>
        </c:rich>
      </c:tx>
      <c:layout>
        <c:manualLayout>
          <c:xMode val="factor"/>
          <c:yMode val="factor"/>
          <c:x val="-0.0015"/>
          <c:y val="-0.0095"/>
        </c:manualLayout>
      </c:layout>
      <c:spPr>
        <a:noFill/>
        <a:ln w="3175">
          <a:noFill/>
        </a:ln>
      </c:spPr>
    </c:title>
    <c:plotArea>
      <c:layout>
        <c:manualLayout>
          <c:xMode val="edge"/>
          <c:yMode val="edge"/>
          <c:x val="0.0045"/>
          <c:y val="0.159"/>
          <c:w val="0.9815"/>
          <c:h val="0.828"/>
        </c:manualLayout>
      </c:layout>
      <c:areaChart>
        <c:grouping val="standard"/>
        <c:varyColors val="0"/>
        <c:ser>
          <c:idx val="0"/>
          <c:order val="0"/>
          <c:tx>
            <c:strRef>
              <c:f>Performance!$AF$3</c:f>
              <c:strCache>
                <c:ptCount val="1"/>
                <c:pt idx="0">
                  <c:v>0-30 Days</c:v>
                </c:pt>
              </c:strCache>
            </c:strRef>
          </c:tx>
          <c:spPr>
            <a:solidFill>
              <a:srgbClr val="D99694"/>
            </a:solidFill>
            <a:ln w="3175">
              <a:noFill/>
            </a:ln>
          </c:spPr>
          <c:extLst>
            <c:ext xmlns:c14="http://schemas.microsoft.com/office/drawing/2007/8/2/chart" uri="{6F2FDCE9-48DA-4B69-8628-5D25D57E5C99}">
              <c14:invertSolidFillFmt>
                <c14:spPr>
                  <a:solidFill>
                    <a:srgbClr val="FFFFFF"/>
                  </a:solidFill>
                </c14:spPr>
              </c14:invertSolidFillFmt>
            </c:ext>
          </c:extLst>
          <c:cat>
            <c:strRef>
              <c:f>Performance!$AD$4:$AD$6</c:f>
              <c:strCache/>
            </c:strRef>
          </c:cat>
          <c:val>
            <c:numRef>
              <c:f>Performance!$AF$4:$AF$6</c:f>
              <c:numCache/>
            </c:numRef>
          </c:val>
        </c:ser>
        <c:ser>
          <c:idx val="1"/>
          <c:order val="1"/>
          <c:tx>
            <c:strRef>
              <c:f>Performance!$AG$3</c:f>
              <c:strCache>
                <c:ptCount val="1"/>
                <c:pt idx="0">
                  <c:v>&gt; 30 Days</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strRef>
              <c:f>Performance!$AD$4:$AD$6</c:f>
              <c:strCache/>
            </c:strRef>
          </c:cat>
          <c:val>
            <c:numRef>
              <c:f>Performance!$AG$4:$AG$6</c:f>
              <c:numCache/>
            </c:numRef>
          </c:val>
        </c:ser>
        <c:axId val="10415014"/>
        <c:axId val="26626263"/>
      </c:areaChart>
      <c:dateAx>
        <c:axId val="10415014"/>
        <c:scaling>
          <c:orientation val="minMax"/>
        </c:scaling>
        <c:axPos val="b"/>
        <c:delete val="0"/>
        <c:numFmt formatCode="m/d/yyyy" sourceLinked="0"/>
        <c:majorTickMark val="out"/>
        <c:minorTickMark val="none"/>
        <c:tickLblPos val="nextTo"/>
        <c:spPr>
          <a:ln w="3175">
            <a:solidFill>
              <a:srgbClr val="808080"/>
            </a:solidFill>
          </a:ln>
        </c:spPr>
        <c:crossAx val="26626263"/>
        <c:crosses val="autoZero"/>
        <c:auto val="0"/>
        <c:baseTimeUnit val="days"/>
        <c:majorUnit val="1"/>
        <c:majorTimeUnit val="months"/>
        <c:minorUnit val="1"/>
        <c:minorTimeUnit val="days"/>
        <c:noMultiLvlLbl val="0"/>
      </c:dateAx>
      <c:valAx>
        <c:axId val="266262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415014"/>
        <c:crossesAt val="1"/>
        <c:crossBetween val="midCat"/>
        <c:dispUnits/>
      </c:valAx>
      <c:spPr>
        <a:solidFill>
          <a:srgbClr val="FFFFFF"/>
        </a:solidFill>
        <a:ln w="3175">
          <a:noFill/>
        </a:ln>
      </c:spPr>
    </c:plotArea>
    <c:legend>
      <c:legendPos val="r"/>
      <c:layout>
        <c:manualLayout>
          <c:xMode val="edge"/>
          <c:yMode val="edge"/>
          <c:x val="0.0995"/>
          <c:y val="0.224"/>
          <c:w val="0.11675"/>
          <c:h val="0.14825"/>
        </c:manualLayout>
      </c:layout>
      <c:overlay val="0"/>
      <c:spPr>
        <a:solidFill>
          <a:srgbClr val="FFFFFF"/>
        </a:solid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Prepayment History
</a:t>
            </a:r>
            <a:r>
              <a:rPr lang="en-US" cap="none" sz="1200" b="0" i="0" u="none" baseline="0">
                <a:solidFill>
                  <a:srgbClr val="000000"/>
                </a:solidFill>
                <a:latin typeface="Calibri"/>
                <a:ea typeface="Calibri"/>
                <a:cs typeface="Calibri"/>
              </a:rPr>
              <a:t>(annualised CPR)</a:t>
            </a:r>
          </a:p>
        </c:rich>
      </c:tx>
      <c:layout>
        <c:manualLayout>
          <c:xMode val="factor"/>
          <c:yMode val="factor"/>
          <c:x val="-0.0015"/>
          <c:y val="-0.00925"/>
        </c:manualLayout>
      </c:layout>
      <c:spPr>
        <a:noFill/>
        <a:ln w="3175">
          <a:noFill/>
        </a:ln>
      </c:spPr>
    </c:title>
    <c:plotArea>
      <c:layout>
        <c:manualLayout>
          <c:xMode val="edge"/>
          <c:yMode val="edge"/>
          <c:x val="0.01475"/>
          <c:y val="0.1565"/>
          <c:w val="0.97075"/>
          <c:h val="0.82825"/>
        </c:manualLayout>
      </c:layout>
      <c:areaChart>
        <c:grouping val="standard"/>
        <c:varyColors val="0"/>
        <c:ser>
          <c:idx val="0"/>
          <c:order val="0"/>
          <c:tx>
            <c:strRef>
              <c:f>Performance!$AH$3</c:f>
              <c:strCache>
                <c:ptCount val="1"/>
                <c:pt idx="0">
                  <c:v>CPR</c:v>
                </c:pt>
              </c:strCache>
            </c:strRef>
          </c:tx>
          <c:spPr>
            <a:solidFill>
              <a:srgbClr val="C4BD97"/>
            </a:solidFill>
            <a:ln w="3175">
              <a:noFill/>
            </a:ln>
          </c:spPr>
          <c:extLst>
            <c:ext xmlns:c14="http://schemas.microsoft.com/office/drawing/2007/8/2/chart" uri="{6F2FDCE9-48DA-4B69-8628-5D25D57E5C99}">
              <c14:invertSolidFillFmt>
                <c14:spPr>
                  <a:solidFill>
                    <a:srgbClr val="FFFFFF"/>
                  </a:solidFill>
                </c14:spPr>
              </c14:invertSolidFillFmt>
            </c:ext>
          </c:extLst>
          <c:cat>
            <c:strRef>
              <c:f>Performance!$AD$4:$AD$6</c:f>
              <c:strCache/>
            </c:strRef>
          </c:cat>
          <c:val>
            <c:numRef>
              <c:f>Performance!$AH$4:$AH$6</c:f>
              <c:numCache/>
            </c:numRef>
          </c:val>
        </c:ser>
        <c:axId val="38309776"/>
        <c:axId val="9243665"/>
      </c:areaChart>
      <c:dateAx>
        <c:axId val="38309776"/>
        <c:scaling>
          <c:orientation val="minMax"/>
        </c:scaling>
        <c:axPos val="b"/>
        <c:delete val="0"/>
        <c:numFmt formatCode="m/d/yyyy" sourceLinked="0"/>
        <c:majorTickMark val="out"/>
        <c:minorTickMark val="none"/>
        <c:tickLblPos val="nextTo"/>
        <c:spPr>
          <a:ln w="3175">
            <a:solidFill>
              <a:srgbClr val="808080"/>
            </a:solidFill>
          </a:ln>
        </c:spPr>
        <c:crossAx val="9243665"/>
        <c:crosses val="autoZero"/>
        <c:auto val="0"/>
        <c:baseTimeUnit val="days"/>
        <c:majorUnit val="1"/>
        <c:majorTimeUnit val="months"/>
        <c:minorUnit val="1"/>
        <c:minorTimeUnit val="days"/>
        <c:noMultiLvlLbl val="0"/>
      </c:dateAx>
      <c:valAx>
        <c:axId val="92436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09776"/>
        <c:crossesAt val="1"/>
        <c:crossBetween val="midCat"/>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Amortisation profiles 
</a:t>
            </a:r>
            <a:r>
              <a:rPr lang="en-US" cap="none" sz="1200" b="0" i="0" u="none" baseline="0">
                <a:solidFill>
                  <a:srgbClr val="000000"/>
                </a:solidFill>
                <a:latin typeface="Calibri"/>
                <a:ea typeface="Calibri"/>
                <a:cs typeface="Calibri"/>
              </a:rPr>
              <a:t>(all amounts in EUR)</a:t>
            </a:r>
          </a:p>
        </c:rich>
      </c:tx>
      <c:layout>
        <c:manualLayout>
          <c:xMode val="factor"/>
          <c:yMode val="factor"/>
          <c:x val="-0.002"/>
          <c:y val="-0.01575"/>
        </c:manualLayout>
      </c:layout>
      <c:spPr>
        <a:noFill/>
        <a:ln w="3175">
          <a:noFill/>
        </a:ln>
      </c:spPr>
    </c:title>
    <c:plotArea>
      <c:layout>
        <c:manualLayout>
          <c:xMode val="edge"/>
          <c:yMode val="edge"/>
          <c:x val="0.02425"/>
          <c:y val="0.07425"/>
          <c:w val="0.9505"/>
          <c:h val="0.8815"/>
        </c:manualLayout>
      </c:layout>
      <c:areaChart>
        <c:grouping val="standard"/>
        <c:varyColors val="0"/>
        <c:ser>
          <c:idx val="2"/>
          <c:order val="0"/>
          <c:tx>
            <c:strRef>
              <c:f>'Amortisation Profiles'!$O$4</c:f>
              <c:strCache>
                <c:ptCount val="1"/>
                <c:pt idx="0">
                  <c:v>Outstanding Residential Mortgage Loans (0% CPR)</c:v>
                </c:pt>
              </c:strCache>
            </c:strRef>
          </c:tx>
          <c:spPr>
            <a:solidFill>
              <a:srgbClr val="4A452A"/>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Profiles'!$O$5:$O$365</c:f>
              <c:numCache/>
            </c:numRef>
          </c:val>
        </c:ser>
        <c:ser>
          <c:idx val="3"/>
          <c:order val="1"/>
          <c:tx>
            <c:strRef>
              <c:f>'Amortisation Profiles'!$P$4</c:f>
              <c:strCache>
                <c:ptCount val="1"/>
                <c:pt idx="0">
                  <c:v>Outstanding Residential Mortgage Loans (2% CPR)</c:v>
                </c:pt>
              </c:strCache>
            </c:strRef>
          </c:tx>
          <c:spPr>
            <a:solidFill>
              <a:srgbClr val="948A54"/>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Profiles'!$P$5:$P$365</c:f>
              <c:numCache/>
            </c:numRef>
          </c:val>
        </c:ser>
        <c:ser>
          <c:idx val="1"/>
          <c:order val="2"/>
          <c:tx>
            <c:strRef>
              <c:f>'Amortisation Profiles'!$Q$4</c:f>
              <c:strCache>
                <c:ptCount val="1"/>
                <c:pt idx="0">
                  <c:v>Outstanding Residential Mortgage Loans (5% CPR)</c:v>
                </c:pt>
              </c:strCache>
            </c:strRef>
          </c:tx>
          <c:spPr>
            <a:solidFill>
              <a:srgbClr val="C4BD97"/>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Profiles'!$Q$5:$Q$365</c:f>
              <c:numCache/>
            </c:numRef>
          </c:val>
        </c:ser>
        <c:ser>
          <c:idx val="4"/>
          <c:order val="3"/>
          <c:tx>
            <c:strRef>
              <c:f>'Amortisation Profiles'!$R$4</c:f>
              <c:strCache>
                <c:ptCount val="1"/>
                <c:pt idx="0">
                  <c:v>Outstanding Residential Mortgage Loans (10% CPR)</c:v>
                </c:pt>
              </c:strCache>
            </c:strRef>
          </c:tx>
          <c:spPr>
            <a:solidFill>
              <a:srgbClr val="DDD9C3"/>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Profiles'!$R$5:$R$365</c:f>
              <c:numCache/>
            </c:numRef>
          </c:val>
        </c:ser>
        <c:ser>
          <c:idx val="0"/>
          <c:order val="4"/>
          <c:tx>
            <c:strRef>
              <c:f>'Amortisation Profiles'!$L$4</c:f>
              <c:strCache>
                <c:ptCount val="1"/>
                <c:pt idx="0">
                  <c:v>Covered bonds (until maturity date)</c:v>
                </c:pt>
              </c:strCache>
            </c:strRef>
          </c:tx>
          <c:spPr>
            <a:solidFill>
              <a:srgbClr val="953735"/>
            </a:solidFill>
            <a:ln w="3175">
              <a:noFill/>
            </a:ln>
          </c:spPr>
          <c:extLst>
            <c:ext xmlns:c14="http://schemas.microsoft.com/office/drawing/2007/8/2/chart" uri="{6F2FDCE9-48DA-4B69-8628-5D25D57E5C99}">
              <c14:invertSolidFillFmt>
                <c14:spPr>
                  <a:solidFill>
                    <a:srgbClr val="FFFFFF"/>
                  </a:solidFill>
                </c14:spPr>
              </c14:invertSolidFillFmt>
            </c:ext>
          </c:extLst>
          <c:cat>
            <c:strRef>
              <c:f>'Amortisation Profiles'!$K$5:$K$365</c:f>
              <c:strCache/>
            </c:strRef>
          </c:cat>
          <c:val>
            <c:numRef>
              <c:f>'Amortisation Profiles'!$L$5:$L$365</c:f>
              <c:numCache/>
            </c:numRef>
          </c:val>
        </c:ser>
        <c:axId val="16084122"/>
        <c:axId val="10539371"/>
      </c:areaChart>
      <c:dateAx>
        <c:axId val="16084122"/>
        <c:scaling>
          <c:orientation val="minMax"/>
        </c:scaling>
        <c:axPos val="b"/>
        <c:delete val="0"/>
        <c:numFmt formatCode="m/d/yyyy" sourceLinked="0"/>
        <c:majorTickMark val="out"/>
        <c:minorTickMark val="none"/>
        <c:tickLblPos val="nextTo"/>
        <c:spPr>
          <a:ln w="3175">
            <a:solidFill>
              <a:srgbClr val="808080"/>
            </a:solidFill>
          </a:ln>
        </c:spPr>
        <c:crossAx val="10539371"/>
        <c:crosses val="autoZero"/>
        <c:auto val="0"/>
        <c:baseTimeUnit val="days"/>
        <c:majorUnit val="1"/>
        <c:majorTimeUnit val="years"/>
        <c:minorUnit val="21"/>
        <c:minorTimeUnit val="days"/>
        <c:noMultiLvlLbl val="0"/>
      </c:dateAx>
      <c:valAx>
        <c:axId val="10539371"/>
        <c:scaling>
          <c:orientation val="minMax"/>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6084122"/>
        <c:crossesAt val="1"/>
        <c:crossBetween val="midCat"/>
        <c:dispUnits/>
      </c:valAx>
      <c:spPr>
        <a:solidFill>
          <a:srgbClr val="FFFFFF"/>
        </a:solidFill>
        <a:ln w="3175">
          <a:noFill/>
        </a:ln>
      </c:spPr>
    </c:plotArea>
    <c:legend>
      <c:legendPos val="r"/>
      <c:layout>
        <c:manualLayout>
          <c:xMode val="edge"/>
          <c:yMode val="edge"/>
          <c:x val="0.67175"/>
          <c:y val="0.12975"/>
          <c:w val="0.28475"/>
          <c:h val="0.1715"/>
        </c:manualLayout>
      </c:layout>
      <c:overlay val="0"/>
      <c:spPr>
        <a:solidFill>
          <a:srgbClr val="FFFFFF"/>
        </a:solid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6</xdr:col>
      <xdr:colOff>314325</xdr:colOff>
      <xdr:row>6</xdr:row>
      <xdr:rowOff>161925</xdr:rowOff>
    </xdr:to>
    <xdr:pic>
      <xdr:nvPicPr>
        <xdr:cNvPr id="1" name="Picture 1"/>
        <xdr:cNvPicPr preferRelativeResize="1">
          <a:picLocks noChangeAspect="1"/>
        </xdr:cNvPicPr>
      </xdr:nvPicPr>
      <xdr:blipFill>
        <a:blip r:embed="rId1"/>
        <a:stretch>
          <a:fillRect/>
        </a:stretch>
      </xdr:blipFill>
      <xdr:spPr>
        <a:xfrm>
          <a:off x="57150" y="95250"/>
          <a:ext cx="26860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15</xdr:row>
      <xdr:rowOff>142875</xdr:rowOff>
    </xdr:from>
    <xdr:to>
      <xdr:col>7</xdr:col>
      <xdr:colOff>1162050</xdr:colOff>
      <xdr:row>32</xdr:row>
      <xdr:rowOff>9525</xdr:rowOff>
    </xdr:to>
    <xdr:graphicFrame>
      <xdr:nvGraphicFramePr>
        <xdr:cNvPr id="1" name="Chart 2"/>
        <xdr:cNvGraphicFramePr/>
      </xdr:nvGraphicFramePr>
      <xdr:xfrm>
        <a:off x="514350" y="2914650"/>
        <a:ext cx="6210300" cy="310515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40</xdr:row>
      <xdr:rowOff>123825</xdr:rowOff>
    </xdr:from>
    <xdr:to>
      <xdr:col>7</xdr:col>
      <xdr:colOff>1143000</xdr:colOff>
      <xdr:row>56</xdr:row>
      <xdr:rowOff>142875</xdr:rowOff>
    </xdr:to>
    <xdr:graphicFrame>
      <xdr:nvGraphicFramePr>
        <xdr:cNvPr id="2" name="Chart 3"/>
        <xdr:cNvGraphicFramePr/>
      </xdr:nvGraphicFramePr>
      <xdr:xfrm>
        <a:off x="542925" y="7648575"/>
        <a:ext cx="6162675" cy="3162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3</xdr:row>
      <xdr:rowOff>200025</xdr:rowOff>
    </xdr:from>
    <xdr:to>
      <xdr:col>8</xdr:col>
      <xdr:colOff>1095375</xdr:colOff>
      <xdr:row>38</xdr:row>
      <xdr:rowOff>66675</xdr:rowOff>
    </xdr:to>
    <xdr:graphicFrame>
      <xdr:nvGraphicFramePr>
        <xdr:cNvPr id="1" name="Chart 1"/>
        <xdr:cNvGraphicFramePr/>
      </xdr:nvGraphicFramePr>
      <xdr:xfrm>
        <a:off x="733425" y="771525"/>
        <a:ext cx="10134600" cy="6705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8:J38"/>
  <sheetViews>
    <sheetView tabSelected="1" zoomScalePageLayoutView="0" workbookViewId="0" topLeftCell="A1">
      <selection activeCell="F40" sqref="F40"/>
    </sheetView>
  </sheetViews>
  <sheetFormatPr defaultColWidth="9.140625" defaultRowHeight="15"/>
  <cols>
    <col min="1" max="1" width="3.7109375" style="12" customWidth="1"/>
    <col min="2" max="2" width="2.7109375" style="12" customWidth="1"/>
    <col min="3" max="3" width="2.57421875" style="12" customWidth="1"/>
    <col min="4" max="6" width="9.140625" style="12" customWidth="1"/>
    <col min="7" max="7" width="10.7109375" style="12" bestFit="1" customWidth="1"/>
    <col min="8" max="9" width="9.140625" style="12" customWidth="1"/>
    <col min="10" max="10" width="11.8515625" style="12" customWidth="1"/>
    <col min="11" max="16384" width="9.140625" style="12" customWidth="1"/>
  </cols>
  <sheetData>
    <row r="1" ht="15"/>
    <row r="2" ht="15"/>
    <row r="3" ht="15"/>
    <row r="4" ht="15"/>
    <row r="5" ht="15"/>
    <row r="6" ht="15"/>
    <row r="7" ht="15"/>
    <row r="8" ht="21">
      <c r="B8" s="56" t="s">
        <v>333</v>
      </c>
    </row>
    <row r="9" ht="21">
      <c r="B9" s="56"/>
    </row>
    <row r="11" ht="18.75">
      <c r="B11" s="17" t="s">
        <v>47</v>
      </c>
    </row>
    <row r="13" spans="3:10" ht="15">
      <c r="C13" s="1" t="s">
        <v>47</v>
      </c>
      <c r="D13" s="1"/>
      <c r="E13" s="1"/>
      <c r="F13" s="1"/>
      <c r="G13" s="1"/>
      <c r="H13" s="1"/>
      <c r="I13" s="1"/>
      <c r="J13" s="10">
        <v>41277</v>
      </c>
    </row>
    <row r="14" spans="3:10" ht="15">
      <c r="C14" s="23" t="s">
        <v>332</v>
      </c>
      <c r="D14" s="23"/>
      <c r="E14" s="23"/>
      <c r="F14" s="23"/>
      <c r="G14" s="23"/>
      <c r="H14" s="23"/>
      <c r="I14" s="23"/>
      <c r="J14" s="58" t="s">
        <v>80</v>
      </c>
    </row>
    <row r="19" ht="18.75">
      <c r="B19" s="17" t="s">
        <v>0</v>
      </c>
    </row>
    <row r="21" ht="15">
      <c r="C21" s="16" t="s">
        <v>63</v>
      </c>
    </row>
    <row r="22" spans="4:8" ht="15">
      <c r="D22" s="12" t="s">
        <v>11</v>
      </c>
      <c r="F22" s="12" t="s">
        <v>12</v>
      </c>
      <c r="H22" s="12" t="s">
        <v>13</v>
      </c>
    </row>
    <row r="24" ht="15">
      <c r="C24" s="16" t="s">
        <v>64</v>
      </c>
    </row>
    <row r="25" spans="4:8" ht="15">
      <c r="D25" s="12" t="s">
        <v>4</v>
      </c>
      <c r="F25" s="12" t="s">
        <v>5</v>
      </c>
      <c r="H25" s="12" t="s">
        <v>14</v>
      </c>
    </row>
    <row r="26" spans="4:8" ht="15">
      <c r="D26" s="12" t="s">
        <v>7</v>
      </c>
      <c r="F26" s="12" t="s">
        <v>8</v>
      </c>
      <c r="H26" s="12" t="s">
        <v>15</v>
      </c>
    </row>
    <row r="28" ht="15">
      <c r="C28" s="16" t="s">
        <v>419</v>
      </c>
    </row>
    <row r="29" spans="4:8" ht="15">
      <c r="D29" s="12" t="s">
        <v>2</v>
      </c>
      <c r="F29" s="12" t="s">
        <v>10</v>
      </c>
      <c r="H29" s="12" t="s">
        <v>16</v>
      </c>
    </row>
    <row r="30" spans="4:8" ht="15">
      <c r="D30" s="12" t="s">
        <v>1</v>
      </c>
      <c r="F30" s="12" t="s">
        <v>9</v>
      </c>
      <c r="H30" s="12" t="s">
        <v>17</v>
      </c>
    </row>
    <row r="31" spans="4:8" ht="15">
      <c r="D31" s="12" t="s">
        <v>3</v>
      </c>
      <c r="F31" s="12" t="s">
        <v>6</v>
      </c>
      <c r="H31" s="12" t="s">
        <v>18</v>
      </c>
    </row>
    <row r="33" ht="15">
      <c r="C33" s="16" t="s">
        <v>19</v>
      </c>
    </row>
    <row r="34" ht="15">
      <c r="D34" s="12" t="s">
        <v>20</v>
      </c>
    </row>
    <row r="36" ht="15">
      <c r="C36" s="16" t="s">
        <v>420</v>
      </c>
    </row>
    <row r="37" ht="15">
      <c r="D37" s="12" t="s">
        <v>421</v>
      </c>
    </row>
    <row r="38" ht="15">
      <c r="D38" t="s">
        <v>422</v>
      </c>
    </row>
  </sheetData>
  <sheetProtection/>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O8" sqref="O8"/>
    </sheetView>
  </sheetViews>
  <sheetFormatPr defaultColWidth="9.140625" defaultRowHeight="15"/>
  <cols>
    <col min="1" max="1" width="4.140625" style="12" customWidth="1"/>
    <col min="2" max="16384" width="9.140625" style="12" customWidth="1"/>
  </cols>
  <sheetData>
    <row r="2" spans="2:13" ht="18.75">
      <c r="B2" s="142" t="s">
        <v>418</v>
      </c>
      <c r="C2" s="142"/>
      <c r="D2" s="142"/>
      <c r="E2" s="142"/>
      <c r="F2" s="142"/>
      <c r="G2" s="142"/>
      <c r="H2" s="142"/>
      <c r="I2" s="142"/>
      <c r="J2" s="142"/>
      <c r="K2" s="142"/>
      <c r="L2" s="142"/>
      <c r="M2" s="142"/>
    </row>
    <row r="3" spans="2:13" ht="15" customHeight="1">
      <c r="B3" s="141" t="s">
        <v>417</v>
      </c>
      <c r="C3" s="141"/>
      <c r="D3" s="141"/>
      <c r="E3" s="141"/>
      <c r="F3" s="141"/>
      <c r="G3" s="141"/>
      <c r="H3" s="141"/>
      <c r="I3" s="141"/>
      <c r="J3" s="141"/>
      <c r="K3" s="141"/>
      <c r="L3" s="141"/>
      <c r="M3" s="141"/>
    </row>
    <row r="4" spans="2:13" ht="15">
      <c r="B4" s="141"/>
      <c r="C4" s="141"/>
      <c r="D4" s="141"/>
      <c r="E4" s="141"/>
      <c r="F4" s="141"/>
      <c r="G4" s="141"/>
      <c r="H4" s="141"/>
      <c r="I4" s="141"/>
      <c r="J4" s="141"/>
      <c r="K4" s="141"/>
      <c r="L4" s="141"/>
      <c r="M4" s="141"/>
    </row>
    <row r="5" spans="2:13" ht="15">
      <c r="B5" s="141"/>
      <c r="C5" s="141"/>
      <c r="D5" s="141"/>
      <c r="E5" s="141"/>
      <c r="F5" s="141"/>
      <c r="G5" s="141"/>
      <c r="H5" s="141"/>
      <c r="I5" s="141"/>
      <c r="J5" s="141"/>
      <c r="K5" s="141"/>
      <c r="L5" s="141"/>
      <c r="M5" s="141"/>
    </row>
    <row r="6" spans="2:13" ht="15">
      <c r="B6" s="141"/>
      <c r="C6" s="141"/>
      <c r="D6" s="141"/>
      <c r="E6" s="141"/>
      <c r="F6" s="141"/>
      <c r="G6" s="141"/>
      <c r="H6" s="141"/>
      <c r="I6" s="141"/>
      <c r="J6" s="141"/>
      <c r="K6" s="141"/>
      <c r="L6" s="141"/>
      <c r="M6" s="141"/>
    </row>
    <row r="7" spans="2:13" ht="15">
      <c r="B7" s="141"/>
      <c r="C7" s="141"/>
      <c r="D7" s="141"/>
      <c r="E7" s="141"/>
      <c r="F7" s="141"/>
      <c r="G7" s="141"/>
      <c r="H7" s="141"/>
      <c r="I7" s="141"/>
      <c r="J7" s="141"/>
      <c r="K7" s="141"/>
      <c r="L7" s="141"/>
      <c r="M7" s="141"/>
    </row>
    <row r="8" spans="2:13" ht="15">
      <c r="B8" s="141"/>
      <c r="C8" s="141"/>
      <c r="D8" s="141"/>
      <c r="E8" s="141"/>
      <c r="F8" s="141"/>
      <c r="G8" s="141"/>
      <c r="H8" s="141"/>
      <c r="I8" s="141"/>
      <c r="J8" s="141"/>
      <c r="K8" s="141"/>
      <c r="L8" s="141"/>
      <c r="M8" s="141"/>
    </row>
    <row r="9" spans="2:13" ht="15">
      <c r="B9" s="141"/>
      <c r="C9" s="141"/>
      <c r="D9" s="141"/>
      <c r="E9" s="141"/>
      <c r="F9" s="141"/>
      <c r="G9" s="141"/>
      <c r="H9" s="141"/>
      <c r="I9" s="141"/>
      <c r="J9" s="141"/>
      <c r="K9" s="141"/>
      <c r="L9" s="141"/>
      <c r="M9" s="141"/>
    </row>
    <row r="10" spans="2:13" ht="15">
      <c r="B10" s="141"/>
      <c r="C10" s="141"/>
      <c r="D10" s="141"/>
      <c r="E10" s="141"/>
      <c r="F10" s="141"/>
      <c r="G10" s="141"/>
      <c r="H10" s="141"/>
      <c r="I10" s="141"/>
      <c r="J10" s="141"/>
      <c r="K10" s="141"/>
      <c r="L10" s="141"/>
      <c r="M10" s="141"/>
    </row>
    <row r="11" spans="2:13" ht="15">
      <c r="B11" s="141"/>
      <c r="C11" s="141"/>
      <c r="D11" s="141"/>
      <c r="E11" s="141"/>
      <c r="F11" s="141"/>
      <c r="G11" s="141"/>
      <c r="H11" s="141"/>
      <c r="I11" s="141"/>
      <c r="J11" s="141"/>
      <c r="K11" s="141"/>
      <c r="L11" s="141"/>
      <c r="M11" s="141"/>
    </row>
    <row r="12" spans="2:13" ht="15">
      <c r="B12" s="141"/>
      <c r="C12" s="141"/>
      <c r="D12" s="141"/>
      <c r="E12" s="141"/>
      <c r="F12" s="141"/>
      <c r="G12" s="141"/>
      <c r="H12" s="141"/>
      <c r="I12" s="141"/>
      <c r="J12" s="141"/>
      <c r="K12" s="141"/>
      <c r="L12" s="141"/>
      <c r="M12" s="141"/>
    </row>
    <row r="13" spans="2:13" ht="15">
      <c r="B13" s="141"/>
      <c r="C13" s="141"/>
      <c r="D13" s="141"/>
      <c r="E13" s="141"/>
      <c r="F13" s="141"/>
      <c r="G13" s="141"/>
      <c r="H13" s="141"/>
      <c r="I13" s="141"/>
      <c r="J13" s="141"/>
      <c r="K13" s="141"/>
      <c r="L13" s="141"/>
      <c r="M13" s="141"/>
    </row>
    <row r="14" spans="2:13" ht="15">
      <c r="B14" s="141"/>
      <c r="C14" s="141"/>
      <c r="D14" s="141"/>
      <c r="E14" s="141"/>
      <c r="F14" s="141"/>
      <c r="G14" s="141"/>
      <c r="H14" s="141"/>
      <c r="I14" s="141"/>
      <c r="J14" s="141"/>
      <c r="K14" s="141"/>
      <c r="L14" s="141"/>
      <c r="M14" s="141"/>
    </row>
    <row r="15" spans="2:13" ht="15">
      <c r="B15" s="141"/>
      <c r="C15" s="141"/>
      <c r="D15" s="141"/>
      <c r="E15" s="141"/>
      <c r="F15" s="141"/>
      <c r="G15" s="141"/>
      <c r="H15" s="141"/>
      <c r="I15" s="141"/>
      <c r="J15" s="141"/>
      <c r="K15" s="141"/>
      <c r="L15" s="141"/>
      <c r="M15" s="141"/>
    </row>
    <row r="16" spans="2:13" ht="15">
      <c r="B16" s="141"/>
      <c r="C16" s="141"/>
      <c r="D16" s="141"/>
      <c r="E16" s="141"/>
      <c r="F16" s="141"/>
      <c r="G16" s="141"/>
      <c r="H16" s="141"/>
      <c r="I16" s="141"/>
      <c r="J16" s="141"/>
      <c r="K16" s="141"/>
      <c r="L16" s="141"/>
      <c r="M16" s="141"/>
    </row>
    <row r="17" spans="2:13" ht="15">
      <c r="B17" s="141"/>
      <c r="C17" s="141"/>
      <c r="D17" s="141"/>
      <c r="E17" s="141"/>
      <c r="F17" s="141"/>
      <c r="G17" s="141"/>
      <c r="H17" s="141"/>
      <c r="I17" s="141"/>
      <c r="J17" s="141"/>
      <c r="K17" s="141"/>
      <c r="L17" s="141"/>
      <c r="M17" s="141"/>
    </row>
    <row r="18" spans="2:13" ht="15">
      <c r="B18" s="141"/>
      <c r="C18" s="141"/>
      <c r="D18" s="141"/>
      <c r="E18" s="141"/>
      <c r="F18" s="141"/>
      <c r="G18" s="141"/>
      <c r="H18" s="141"/>
      <c r="I18" s="141"/>
      <c r="J18" s="141"/>
      <c r="K18" s="141"/>
      <c r="L18" s="141"/>
      <c r="M18" s="141"/>
    </row>
    <row r="19" spans="2:13" ht="15">
      <c r="B19" s="141"/>
      <c r="C19" s="141"/>
      <c r="D19" s="141"/>
      <c r="E19" s="141"/>
      <c r="F19" s="141"/>
      <c r="G19" s="141"/>
      <c r="H19" s="141"/>
      <c r="I19" s="141"/>
      <c r="J19" s="141"/>
      <c r="K19" s="141"/>
      <c r="L19" s="141"/>
      <c r="M19" s="141"/>
    </row>
    <row r="20" spans="2:13" ht="15">
      <c r="B20" s="141"/>
      <c r="C20" s="141"/>
      <c r="D20" s="141"/>
      <c r="E20" s="141"/>
      <c r="F20" s="141"/>
      <c r="G20" s="141"/>
      <c r="H20" s="141"/>
      <c r="I20" s="141"/>
      <c r="J20" s="141"/>
      <c r="K20" s="141"/>
      <c r="L20" s="141"/>
      <c r="M20" s="141"/>
    </row>
    <row r="21" spans="2:13" ht="15">
      <c r="B21" s="141"/>
      <c r="C21" s="141"/>
      <c r="D21" s="141"/>
      <c r="E21" s="141"/>
      <c r="F21" s="141"/>
      <c r="G21" s="141"/>
      <c r="H21" s="141"/>
      <c r="I21" s="141"/>
      <c r="J21" s="141"/>
      <c r="K21" s="141"/>
      <c r="L21" s="141"/>
      <c r="M21" s="141"/>
    </row>
    <row r="22" spans="2:13" ht="15">
      <c r="B22" s="141"/>
      <c r="C22" s="141"/>
      <c r="D22" s="141"/>
      <c r="E22" s="141"/>
      <c r="F22" s="141"/>
      <c r="G22" s="141"/>
      <c r="H22" s="141"/>
      <c r="I22" s="141"/>
      <c r="J22" s="141"/>
      <c r="K22" s="141"/>
      <c r="L22" s="141"/>
      <c r="M22" s="141"/>
    </row>
    <row r="23" spans="2:13" ht="15">
      <c r="B23" s="141"/>
      <c r="C23" s="141"/>
      <c r="D23" s="141"/>
      <c r="E23" s="141"/>
      <c r="F23" s="141"/>
      <c r="G23" s="141"/>
      <c r="H23" s="141"/>
      <c r="I23" s="141"/>
      <c r="J23" s="141"/>
      <c r="K23" s="141"/>
      <c r="L23" s="141"/>
      <c r="M23" s="141"/>
    </row>
    <row r="24" spans="2:13" ht="15">
      <c r="B24" s="141"/>
      <c r="C24" s="141"/>
      <c r="D24" s="141"/>
      <c r="E24" s="141"/>
      <c r="F24" s="141"/>
      <c r="G24" s="141"/>
      <c r="H24" s="141"/>
      <c r="I24" s="141"/>
      <c r="J24" s="141"/>
      <c r="K24" s="141"/>
      <c r="L24" s="141"/>
      <c r="M24" s="141"/>
    </row>
    <row r="25" spans="2:13" ht="15">
      <c r="B25" s="141"/>
      <c r="C25" s="141"/>
      <c r="D25" s="141"/>
      <c r="E25" s="141"/>
      <c r="F25" s="141"/>
      <c r="G25" s="141"/>
      <c r="H25" s="141"/>
      <c r="I25" s="141"/>
      <c r="J25" s="141"/>
      <c r="K25" s="141"/>
      <c r="L25" s="141"/>
      <c r="M25" s="141"/>
    </row>
    <row r="26" spans="2:13" ht="15">
      <c r="B26" s="141"/>
      <c r="C26" s="141"/>
      <c r="D26" s="141"/>
      <c r="E26" s="141"/>
      <c r="F26" s="141"/>
      <c r="G26" s="141"/>
      <c r="H26" s="141"/>
      <c r="I26" s="141"/>
      <c r="J26" s="141"/>
      <c r="K26" s="141"/>
      <c r="L26" s="141"/>
      <c r="M26" s="141"/>
    </row>
    <row r="27" spans="2:13" ht="15">
      <c r="B27" s="141"/>
      <c r="C27" s="141"/>
      <c r="D27" s="141"/>
      <c r="E27" s="141"/>
      <c r="F27" s="141"/>
      <c r="G27" s="141"/>
      <c r="H27" s="141"/>
      <c r="I27" s="141"/>
      <c r="J27" s="141"/>
      <c r="K27" s="141"/>
      <c r="L27" s="141"/>
      <c r="M27" s="141"/>
    </row>
    <row r="28" spans="2:13" ht="15">
      <c r="B28" s="141"/>
      <c r="C28" s="141"/>
      <c r="D28" s="141"/>
      <c r="E28" s="141"/>
      <c r="F28" s="141"/>
      <c r="G28" s="141"/>
      <c r="H28" s="141"/>
      <c r="I28" s="141"/>
      <c r="J28" s="141"/>
      <c r="K28" s="141"/>
      <c r="L28" s="141"/>
      <c r="M28" s="141"/>
    </row>
    <row r="29" spans="2:13" ht="15">
      <c r="B29" s="141"/>
      <c r="C29" s="141"/>
      <c r="D29" s="141"/>
      <c r="E29" s="141"/>
      <c r="F29" s="141"/>
      <c r="G29" s="141"/>
      <c r="H29" s="141"/>
      <c r="I29" s="141"/>
      <c r="J29" s="141"/>
      <c r="K29" s="141"/>
      <c r="L29" s="141"/>
      <c r="M29" s="141"/>
    </row>
    <row r="30" spans="2:13" ht="15">
      <c r="B30" s="141"/>
      <c r="C30" s="141"/>
      <c r="D30" s="141"/>
      <c r="E30" s="141"/>
      <c r="F30" s="141"/>
      <c r="G30" s="141"/>
      <c r="H30" s="141"/>
      <c r="I30" s="141"/>
      <c r="J30" s="141"/>
      <c r="K30" s="141"/>
      <c r="L30" s="141"/>
      <c r="M30" s="141"/>
    </row>
    <row r="31" spans="2:13" ht="15">
      <c r="B31" s="141"/>
      <c r="C31" s="141"/>
      <c r="D31" s="141"/>
      <c r="E31" s="141"/>
      <c r="F31" s="141"/>
      <c r="G31" s="141"/>
      <c r="H31" s="141"/>
      <c r="I31" s="141"/>
      <c r="J31" s="141"/>
      <c r="K31" s="141"/>
      <c r="L31" s="141"/>
      <c r="M31" s="141"/>
    </row>
    <row r="32" spans="2:13" ht="15">
      <c r="B32" s="141"/>
      <c r="C32" s="141"/>
      <c r="D32" s="141"/>
      <c r="E32" s="141"/>
      <c r="F32" s="141"/>
      <c r="G32" s="141"/>
      <c r="H32" s="141"/>
      <c r="I32" s="141"/>
      <c r="J32" s="141"/>
      <c r="K32" s="141"/>
      <c r="L32" s="141"/>
      <c r="M32" s="141"/>
    </row>
    <row r="33" spans="2:13" ht="15">
      <c r="B33" s="141"/>
      <c r="C33" s="141"/>
      <c r="D33" s="141"/>
      <c r="E33" s="141"/>
      <c r="F33" s="141"/>
      <c r="G33" s="141"/>
      <c r="H33" s="141"/>
      <c r="I33" s="141"/>
      <c r="J33" s="141"/>
      <c r="K33" s="141"/>
      <c r="L33" s="141"/>
      <c r="M33" s="141"/>
    </row>
    <row r="34" spans="2:13" ht="15">
      <c r="B34" s="141"/>
      <c r="C34" s="141"/>
      <c r="D34" s="141"/>
      <c r="E34" s="141"/>
      <c r="F34" s="141"/>
      <c r="G34" s="141"/>
      <c r="H34" s="141"/>
      <c r="I34" s="141"/>
      <c r="J34" s="141"/>
      <c r="K34" s="141"/>
      <c r="L34" s="141"/>
      <c r="M34" s="141"/>
    </row>
    <row r="35" spans="2:13" ht="15">
      <c r="B35" s="141"/>
      <c r="C35" s="141"/>
      <c r="D35" s="141"/>
      <c r="E35" s="141"/>
      <c r="F35" s="141"/>
      <c r="G35" s="141"/>
      <c r="H35" s="141"/>
      <c r="I35" s="141"/>
      <c r="J35" s="141"/>
      <c r="K35" s="141"/>
      <c r="L35" s="141"/>
      <c r="M35" s="141"/>
    </row>
    <row r="36" spans="2:13" ht="15">
      <c r="B36" s="141"/>
      <c r="C36" s="141"/>
      <c r="D36" s="141"/>
      <c r="E36" s="141"/>
      <c r="F36" s="141"/>
      <c r="G36" s="141"/>
      <c r="H36" s="141"/>
      <c r="I36" s="141"/>
      <c r="J36" s="141"/>
      <c r="K36" s="141"/>
      <c r="L36" s="141"/>
      <c r="M36" s="141"/>
    </row>
    <row r="37" spans="2:13" ht="15">
      <c r="B37" s="141"/>
      <c r="C37" s="141"/>
      <c r="D37" s="141"/>
      <c r="E37" s="141"/>
      <c r="F37" s="141"/>
      <c r="G37" s="141"/>
      <c r="H37" s="141"/>
      <c r="I37" s="141"/>
      <c r="J37" s="141"/>
      <c r="K37" s="141"/>
      <c r="L37" s="141"/>
      <c r="M37" s="141"/>
    </row>
    <row r="38" spans="2:13" ht="15">
      <c r="B38" s="141"/>
      <c r="C38" s="141"/>
      <c r="D38" s="141"/>
      <c r="E38" s="141"/>
      <c r="F38" s="141"/>
      <c r="G38" s="141"/>
      <c r="H38" s="141"/>
      <c r="I38" s="141"/>
      <c r="J38" s="141"/>
      <c r="K38" s="141"/>
      <c r="L38" s="141"/>
      <c r="M38" s="141"/>
    </row>
    <row r="39" spans="2:13" ht="15">
      <c r="B39" s="141"/>
      <c r="C39" s="141"/>
      <c r="D39" s="141"/>
      <c r="E39" s="141"/>
      <c r="F39" s="141"/>
      <c r="G39" s="141"/>
      <c r="H39" s="141"/>
      <c r="I39" s="141"/>
      <c r="J39" s="141"/>
      <c r="K39" s="141"/>
      <c r="L39" s="141"/>
      <c r="M39" s="141"/>
    </row>
    <row r="40" spans="2:13" ht="15">
      <c r="B40" s="141"/>
      <c r="C40" s="141"/>
      <c r="D40" s="141"/>
      <c r="E40" s="141"/>
      <c r="F40" s="141"/>
      <c r="G40" s="141"/>
      <c r="H40" s="141"/>
      <c r="I40" s="141"/>
      <c r="J40" s="141"/>
      <c r="K40" s="141"/>
      <c r="L40" s="141"/>
      <c r="M40" s="141"/>
    </row>
  </sheetData>
  <sheetProtection/>
  <mergeCells count="2">
    <mergeCell ref="B3:M40"/>
    <mergeCell ref="B2:M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9" r:id="rId1"/>
  <headerFooter>
    <oddFooter>&amp;LBelfius Mortgage Pandbrieven Programme - Investor Report&amp;R&amp;P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M17"/>
  <sheetViews>
    <sheetView zoomScalePageLayoutView="0" workbookViewId="0" topLeftCell="A1">
      <selection activeCell="A1" sqref="A1"/>
    </sheetView>
  </sheetViews>
  <sheetFormatPr defaultColWidth="9.140625" defaultRowHeight="15"/>
  <cols>
    <col min="1" max="1" width="4.7109375" style="12" customWidth="1"/>
    <col min="2" max="2" width="6.8515625" style="12" customWidth="1"/>
    <col min="3" max="3" width="13.28125" style="18" bestFit="1" customWidth="1"/>
    <col min="4" max="4" width="11.00390625" style="18" bestFit="1" customWidth="1"/>
    <col min="5" max="5" width="19.8515625" style="27" customWidth="1"/>
    <col min="6" max="7" width="14.8515625" style="28" bestFit="1" customWidth="1"/>
    <col min="8" max="8" width="14.7109375" style="18" bestFit="1" customWidth="1"/>
    <col min="9" max="9" width="10.00390625" style="29" bestFit="1" customWidth="1"/>
    <col min="10" max="10" width="12.7109375" style="18" bestFit="1" customWidth="1"/>
    <col min="11" max="12" width="17.7109375" style="28" customWidth="1"/>
    <col min="13" max="13" width="13.7109375" style="12" customWidth="1"/>
    <col min="14" max="16384" width="9.140625" style="12" customWidth="1"/>
  </cols>
  <sheetData>
    <row r="2" ht="18.75">
      <c r="B2" s="17" t="s">
        <v>48</v>
      </c>
    </row>
    <row r="4" spans="2:13" s="33" customFormat="1" ht="30.75" customHeight="1">
      <c r="B4" s="19" t="s">
        <v>21</v>
      </c>
      <c r="C4" s="19" t="s">
        <v>22</v>
      </c>
      <c r="D4" s="19" t="s">
        <v>23</v>
      </c>
      <c r="E4" s="30" t="s">
        <v>24</v>
      </c>
      <c r="F4" s="31" t="s">
        <v>25</v>
      </c>
      <c r="G4" s="31" t="s">
        <v>26</v>
      </c>
      <c r="H4" s="19" t="s">
        <v>27</v>
      </c>
      <c r="I4" s="32" t="s">
        <v>28</v>
      </c>
      <c r="J4" s="19" t="s">
        <v>29</v>
      </c>
      <c r="K4" s="31" t="s">
        <v>30</v>
      </c>
      <c r="L4" s="31" t="s">
        <v>31</v>
      </c>
      <c r="M4" s="19" t="s">
        <v>102</v>
      </c>
    </row>
    <row r="5" spans="2:13" ht="15">
      <c r="B5" s="38">
        <v>1</v>
      </c>
      <c r="C5" s="38" t="s">
        <v>32</v>
      </c>
      <c r="D5" s="38" t="s">
        <v>33</v>
      </c>
      <c r="E5" s="39">
        <v>1250000000</v>
      </c>
      <c r="F5" s="40">
        <v>41240</v>
      </c>
      <c r="G5" s="40">
        <v>43066</v>
      </c>
      <c r="H5" s="38" t="s">
        <v>34</v>
      </c>
      <c r="I5" s="41">
        <v>0.0125</v>
      </c>
      <c r="J5" s="38" t="s">
        <v>35</v>
      </c>
      <c r="K5" s="40">
        <v>41605</v>
      </c>
      <c r="L5" s="40">
        <v>43431</v>
      </c>
      <c r="M5" s="42">
        <f>('Covered Bond Series'!$G5-'Front Page'!$J$13)/365</f>
        <v>4.901369863013699</v>
      </c>
    </row>
    <row r="6" spans="2:13" ht="15">
      <c r="B6" s="18">
        <v>2</v>
      </c>
      <c r="C6" s="18" t="s">
        <v>36</v>
      </c>
      <c r="D6" s="18" t="s">
        <v>33</v>
      </c>
      <c r="E6" s="27">
        <v>30000000</v>
      </c>
      <c r="F6" s="28">
        <v>41261</v>
      </c>
      <c r="G6" s="28">
        <v>49296</v>
      </c>
      <c r="H6" s="18" t="s">
        <v>34</v>
      </c>
      <c r="I6" s="29">
        <v>0.03</v>
      </c>
      <c r="J6" s="18" t="s">
        <v>35</v>
      </c>
      <c r="K6" s="28">
        <v>41626</v>
      </c>
      <c r="L6" s="28">
        <v>49661</v>
      </c>
      <c r="M6" s="34">
        <f>('Covered Bond Series'!$G6-'Front Page'!$J$13)/365</f>
        <v>21.96986301369863</v>
      </c>
    </row>
    <row r="7" spans="2:13" ht="15">
      <c r="B7" s="38">
        <v>3</v>
      </c>
      <c r="C7" s="38" t="s">
        <v>37</v>
      </c>
      <c r="D7" s="38" t="s">
        <v>33</v>
      </c>
      <c r="E7" s="39">
        <v>30000000</v>
      </c>
      <c r="F7" s="40">
        <v>41261</v>
      </c>
      <c r="G7" s="40">
        <v>49296</v>
      </c>
      <c r="H7" s="38" t="s">
        <v>34</v>
      </c>
      <c r="I7" s="41">
        <v>0.0295</v>
      </c>
      <c r="J7" s="38" t="s">
        <v>35</v>
      </c>
      <c r="K7" s="40">
        <v>41626</v>
      </c>
      <c r="L7" s="40">
        <v>49661</v>
      </c>
      <c r="M7" s="42">
        <f>('Covered Bond Series'!$G7-'Front Page'!$J$13)/365</f>
        <v>21.96986301369863</v>
      </c>
    </row>
    <row r="8" spans="2:13" ht="15">
      <c r="B8" s="18">
        <v>4</v>
      </c>
      <c r="C8" s="18" t="s">
        <v>38</v>
      </c>
      <c r="D8" s="18" t="s">
        <v>33</v>
      </c>
      <c r="E8" s="27">
        <v>30000000</v>
      </c>
      <c r="F8" s="28">
        <v>41264</v>
      </c>
      <c r="G8" s="28">
        <v>48569</v>
      </c>
      <c r="H8" s="18" t="s">
        <v>34</v>
      </c>
      <c r="I8" s="29">
        <v>0.0292</v>
      </c>
      <c r="J8" s="18" t="s">
        <v>35</v>
      </c>
      <c r="K8" s="28">
        <v>41631</v>
      </c>
      <c r="L8" s="28">
        <v>48934</v>
      </c>
      <c r="M8" s="34">
        <f>('Covered Bond Series'!$G8-'Front Page'!$J$13)/365</f>
        <v>19.97808219178082</v>
      </c>
    </row>
    <row r="9" ht="15">
      <c r="B9" s="37" t="s">
        <v>81</v>
      </c>
    </row>
    <row r="10" ht="15">
      <c r="B10" s="37"/>
    </row>
    <row r="12" ht="18.75">
      <c r="B12" s="17" t="s">
        <v>49</v>
      </c>
    </row>
    <row r="14" spans="2:6" ht="15">
      <c r="B14" s="1" t="s">
        <v>51</v>
      </c>
      <c r="C14" s="2"/>
      <c r="D14" s="2"/>
      <c r="E14" s="3"/>
      <c r="F14" s="3">
        <f>SUM('Covered Bond Series'!$E$5:$E$8)</f>
        <v>1340000000</v>
      </c>
    </row>
    <row r="15" spans="2:6" ht="15">
      <c r="B15" s="20" t="s">
        <v>52</v>
      </c>
      <c r="C15" s="21"/>
      <c r="D15" s="21"/>
      <c r="E15" s="35"/>
      <c r="F15" s="36">
        <f>SUMPRODUCT('Covered Bond Series'!$E$5:$E$8,'Covered Bond Series'!$I$5:$I$8)/F14</f>
        <v>0.013646268656716419</v>
      </c>
    </row>
    <row r="16" spans="2:6" ht="15">
      <c r="B16" s="4" t="s">
        <v>50</v>
      </c>
      <c r="C16" s="5"/>
      <c r="D16" s="5"/>
      <c r="E16" s="6"/>
      <c r="F16" s="7">
        <f>SUMPRODUCT('Covered Bond Series'!$E$5:$E$8,'Covered Bond Series'!$M$5:$M$8)/F14</f>
        <v>6.0031690860764675</v>
      </c>
    </row>
    <row r="17" ht="15">
      <c r="B17" s="37" t="s">
        <v>81</v>
      </c>
    </row>
  </sheetData>
  <printOptions/>
  <pageMargins left="0.7086614173228347" right="0.7086614173228347" top="0.7480314960629921" bottom="0.7480314960629921" header="0.31496062992125984" footer="0.31496062992125984"/>
  <pageSetup fitToHeight="0" fitToWidth="1" horizontalDpi="600" verticalDpi="600" orientation="landscape" paperSize="9" scale="77" r:id="rId1"/>
  <headerFooter>
    <oddFooter>&amp;LBelfius Mortgage Pandbrieven Programme - Investor Report&amp;R&amp;P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E14"/>
  <sheetViews>
    <sheetView zoomScalePageLayoutView="0" workbookViewId="0" topLeftCell="A1">
      <selection activeCell="J12" sqref="J12"/>
    </sheetView>
  </sheetViews>
  <sheetFormatPr defaultColWidth="9.140625" defaultRowHeight="15"/>
  <cols>
    <col min="1" max="1" width="4.421875" style="12" customWidth="1"/>
    <col min="2" max="2" width="30.7109375" style="12" bestFit="1" customWidth="1"/>
    <col min="3" max="3" width="10.7109375" style="12" bestFit="1" customWidth="1"/>
    <col min="4" max="4" width="11.7109375" style="18" customWidth="1"/>
    <col min="5" max="6" width="11.7109375" style="12" customWidth="1"/>
    <col min="7" max="16384" width="9.140625" style="12" customWidth="1"/>
  </cols>
  <sheetData>
    <row r="2" ht="18.75">
      <c r="B2" s="17" t="s">
        <v>62</v>
      </c>
    </row>
    <row r="4" spans="3:5" ht="30" customHeight="1">
      <c r="C4" s="19" t="s">
        <v>56</v>
      </c>
      <c r="D4" s="19" t="s">
        <v>58</v>
      </c>
      <c r="E4" s="19" t="s">
        <v>57</v>
      </c>
    </row>
    <row r="5" spans="2:5" ht="15">
      <c r="B5" s="1" t="s">
        <v>39</v>
      </c>
      <c r="C5" s="2" t="s">
        <v>42</v>
      </c>
      <c r="D5" s="8" t="s">
        <v>43</v>
      </c>
      <c r="E5" s="2" t="s">
        <v>60</v>
      </c>
    </row>
    <row r="6" spans="2:5" ht="15">
      <c r="B6" s="20" t="s">
        <v>40</v>
      </c>
      <c r="C6" s="21" t="s">
        <v>42</v>
      </c>
      <c r="D6" s="22" t="s">
        <v>44</v>
      </c>
      <c r="E6" s="21" t="s">
        <v>59</v>
      </c>
    </row>
    <row r="7" spans="2:5" ht="15">
      <c r="B7" s="4" t="s">
        <v>41</v>
      </c>
      <c r="C7" s="5" t="s">
        <v>45</v>
      </c>
      <c r="D7" s="9" t="s">
        <v>44</v>
      </c>
      <c r="E7" s="5" t="s">
        <v>46</v>
      </c>
    </row>
    <row r="8" ht="15">
      <c r="D8" s="26"/>
    </row>
    <row r="9" ht="15">
      <c r="D9" s="26"/>
    </row>
    <row r="10" spans="2:4" ht="18.75">
      <c r="B10" s="17" t="s">
        <v>53</v>
      </c>
      <c r="D10" s="26"/>
    </row>
    <row r="12" spans="3:4" ht="15">
      <c r="C12" s="18" t="s">
        <v>55</v>
      </c>
      <c r="D12" s="18" t="s">
        <v>61</v>
      </c>
    </row>
    <row r="13" spans="2:4" ht="15">
      <c r="B13" s="1" t="s">
        <v>39</v>
      </c>
      <c r="C13" s="2" t="s">
        <v>54</v>
      </c>
      <c r="D13" s="8" t="s">
        <v>43</v>
      </c>
    </row>
    <row r="14" spans="2:4" ht="15">
      <c r="B14" s="23" t="s">
        <v>40</v>
      </c>
      <c r="C14" s="24" t="s">
        <v>54</v>
      </c>
      <c r="D14" s="25" t="s">
        <v>44</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r:id="rId1"/>
  <headerFooter>
    <oddFooter>&amp;LBelfius Mortgage Pandbrieven Programme - Investor Report&amp;R&amp;P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E62"/>
  <sheetViews>
    <sheetView zoomScalePageLayoutView="0" workbookViewId="0" topLeftCell="A1">
      <selection activeCell="C51" sqref="C51"/>
    </sheetView>
  </sheetViews>
  <sheetFormatPr defaultColWidth="9.140625" defaultRowHeight="15"/>
  <cols>
    <col min="1" max="1" width="4.28125" style="12" customWidth="1"/>
    <col min="2" max="2" width="3.00390625" style="12" customWidth="1"/>
    <col min="3" max="3" width="75.8515625" style="12" customWidth="1"/>
    <col min="4" max="4" width="13.8515625" style="12" bestFit="1" customWidth="1"/>
    <col min="5" max="5" width="5.8515625" style="12" customWidth="1"/>
    <col min="6" max="16384" width="9.140625" style="12" customWidth="1"/>
  </cols>
  <sheetData>
    <row r="2" ht="18.75">
      <c r="B2" s="17" t="s">
        <v>78</v>
      </c>
    </row>
    <row r="3" ht="15">
      <c r="B3" s="57" t="s">
        <v>79</v>
      </c>
    </row>
    <row r="5" ht="15.75">
      <c r="B5" s="11" t="s">
        <v>337</v>
      </c>
    </row>
    <row r="6" ht="15.75">
      <c r="B6" s="11"/>
    </row>
    <row r="7" spans="3:5" ht="15">
      <c r="C7" s="1" t="s">
        <v>65</v>
      </c>
      <c r="D7" s="47">
        <f>'Covered Bond Series'!F14</f>
        <v>1340000000</v>
      </c>
      <c r="E7" s="12" t="s">
        <v>82</v>
      </c>
    </row>
    <row r="8" spans="3:5" ht="15">
      <c r="C8" s="20" t="s">
        <v>334</v>
      </c>
      <c r="D8" s="43">
        <v>2701887071.06</v>
      </c>
      <c r="E8" s="12" t="s">
        <v>83</v>
      </c>
    </row>
    <row r="9" spans="3:5" ht="15">
      <c r="C9" s="48" t="s">
        <v>335</v>
      </c>
      <c r="D9" s="87">
        <v>42750000</v>
      </c>
      <c r="E9" s="12" t="s">
        <v>84</v>
      </c>
    </row>
    <row r="10" spans="3:5" ht="15">
      <c r="C10" s="20" t="s">
        <v>336</v>
      </c>
      <c r="D10" s="43">
        <v>0</v>
      </c>
      <c r="E10" s="12" t="s">
        <v>85</v>
      </c>
    </row>
    <row r="11" spans="3:4" ht="15">
      <c r="C11" s="4" t="s">
        <v>338</v>
      </c>
      <c r="D11" s="86">
        <f>SUM(D8:D10)/D7-1</f>
        <v>1.0482366201940296</v>
      </c>
    </row>
    <row r="12" ht="15">
      <c r="D12" s="13"/>
    </row>
    <row r="13" ht="15">
      <c r="D13" s="13"/>
    </row>
    <row r="14" ht="15.75">
      <c r="B14" s="11" t="s">
        <v>99</v>
      </c>
    </row>
    <row r="16" spans="3:5" ht="15">
      <c r="C16" s="1" t="s">
        <v>86</v>
      </c>
      <c r="D16" s="47">
        <v>2451264806.20606</v>
      </c>
      <c r="E16" s="12" t="s">
        <v>87</v>
      </c>
    </row>
    <row r="17" spans="3:4" ht="15">
      <c r="C17" s="20" t="s">
        <v>340</v>
      </c>
      <c r="D17" s="60">
        <v>1.8293020941836269</v>
      </c>
    </row>
    <row r="18" spans="3:4" ht="15">
      <c r="C18" s="50" t="s">
        <v>66</v>
      </c>
      <c r="D18" s="114" t="s">
        <v>67</v>
      </c>
    </row>
    <row r="19" spans="3:4" ht="15">
      <c r="C19" s="115" t="s">
        <v>339</v>
      </c>
      <c r="D19" s="116" t="s">
        <v>67</v>
      </c>
    </row>
    <row r="22" ht="15.75">
      <c r="B22" s="11" t="s">
        <v>100</v>
      </c>
    </row>
    <row r="24" spans="3:5" ht="15">
      <c r="C24" s="1" t="s">
        <v>347</v>
      </c>
      <c r="D24" s="49">
        <v>48404594.78</v>
      </c>
      <c r="E24" s="12" t="s">
        <v>88</v>
      </c>
    </row>
    <row r="25" spans="3:5" ht="15">
      <c r="C25" s="20" t="s">
        <v>348</v>
      </c>
      <c r="D25" s="20">
        <v>0</v>
      </c>
      <c r="E25" s="12" t="s">
        <v>89</v>
      </c>
    </row>
    <row r="26" spans="3:4" ht="15">
      <c r="C26" s="48" t="s">
        <v>341</v>
      </c>
      <c r="D26" s="59">
        <v>1.8654249261090001</v>
      </c>
    </row>
    <row r="27" spans="3:4" ht="15">
      <c r="C27" s="45" t="s">
        <v>68</v>
      </c>
      <c r="D27" s="46" t="s">
        <v>67</v>
      </c>
    </row>
    <row r="28" spans="3:4" ht="15">
      <c r="C28" s="14"/>
      <c r="D28" s="15"/>
    </row>
    <row r="30" ht="15.75">
      <c r="B30" s="11" t="s">
        <v>101</v>
      </c>
    </row>
    <row r="31" ht="15">
      <c r="D31" s="55"/>
    </row>
    <row r="32" spans="3:5" ht="15">
      <c r="C32" s="1" t="s">
        <v>96</v>
      </c>
      <c r="D32" s="47">
        <v>1112912819.6791005</v>
      </c>
      <c r="E32" s="12" t="s">
        <v>90</v>
      </c>
    </row>
    <row r="33" spans="3:4" ht="15">
      <c r="C33" s="44" t="s">
        <v>69</v>
      </c>
      <c r="D33" s="61">
        <v>1101150128.1091006</v>
      </c>
    </row>
    <row r="34" spans="3:4" ht="15">
      <c r="C34" s="50" t="s">
        <v>70</v>
      </c>
      <c r="D34" s="62">
        <v>11762691.57</v>
      </c>
    </row>
    <row r="35" spans="3:4" ht="15">
      <c r="C35" s="44" t="s">
        <v>71</v>
      </c>
      <c r="D35" s="61">
        <v>0</v>
      </c>
    </row>
    <row r="36" spans="3:4" ht="15">
      <c r="C36" s="51" t="s">
        <v>72</v>
      </c>
      <c r="D36" s="63">
        <v>0</v>
      </c>
    </row>
    <row r="37" spans="3:4" ht="15">
      <c r="C37" s="44"/>
      <c r="D37" s="43"/>
    </row>
    <row r="38" spans="3:5" ht="15">
      <c r="C38" s="1" t="s">
        <v>95</v>
      </c>
      <c r="D38" s="47">
        <v>2744637071.06</v>
      </c>
      <c r="E38" s="12" t="s">
        <v>91</v>
      </c>
    </row>
    <row r="39" spans="3:4" ht="15">
      <c r="C39" s="44" t="s">
        <v>73</v>
      </c>
      <c r="D39" s="61">
        <v>2701887071.06</v>
      </c>
    </row>
    <row r="40" spans="3:4" ht="15">
      <c r="C40" s="50" t="s">
        <v>74</v>
      </c>
      <c r="D40" s="62">
        <v>42750000</v>
      </c>
    </row>
    <row r="41" spans="3:4" ht="15">
      <c r="C41" s="44" t="s">
        <v>75</v>
      </c>
      <c r="D41" s="61">
        <v>0</v>
      </c>
    </row>
    <row r="42" spans="3:4" ht="15">
      <c r="C42" s="51" t="s">
        <v>72</v>
      </c>
      <c r="D42" s="63">
        <v>0</v>
      </c>
    </row>
    <row r="43" spans="3:4" ht="15">
      <c r="C43" s="20"/>
      <c r="D43" s="43"/>
    </row>
    <row r="44" spans="3:5" ht="15">
      <c r="C44" s="1" t="s">
        <v>94</v>
      </c>
      <c r="D44" s="47">
        <v>134915000</v>
      </c>
      <c r="E44" s="12" t="s">
        <v>97</v>
      </c>
    </row>
    <row r="45" spans="3:5" ht="15">
      <c r="C45" s="20" t="s">
        <v>93</v>
      </c>
      <c r="D45" s="43">
        <v>168244388.82999998</v>
      </c>
      <c r="E45" s="12" t="s">
        <v>98</v>
      </c>
    </row>
    <row r="46" spans="3:5" ht="15">
      <c r="C46" s="4" t="s">
        <v>92</v>
      </c>
      <c r="D46" s="52">
        <v>1340000000</v>
      </c>
      <c r="E46" s="12" t="s">
        <v>342</v>
      </c>
    </row>
    <row r="48" spans="3:4" ht="15">
      <c r="C48" s="1" t="s">
        <v>343</v>
      </c>
      <c r="D48" s="47">
        <v>2214390501.9090996</v>
      </c>
    </row>
    <row r="49" spans="3:4" ht="15">
      <c r="C49" s="45" t="s">
        <v>358</v>
      </c>
      <c r="D49" s="46" t="s">
        <v>67</v>
      </c>
    </row>
    <row r="50" ht="15">
      <c r="D50" s="13"/>
    </row>
    <row r="52" ht="15.75">
      <c r="B52" s="11" t="s">
        <v>354</v>
      </c>
    </row>
    <row r="54" spans="3:5" ht="15">
      <c r="C54" s="1" t="s">
        <v>76</v>
      </c>
      <c r="D54" s="49">
        <v>176557189.81550005</v>
      </c>
      <c r="E54" s="12" t="s">
        <v>344</v>
      </c>
    </row>
    <row r="55" spans="3:5" ht="15">
      <c r="C55" s="20" t="s">
        <v>77</v>
      </c>
      <c r="D55" s="53">
        <v>-3432942.51</v>
      </c>
      <c r="E55" s="12" t="s">
        <v>345</v>
      </c>
    </row>
    <row r="56" spans="3:4" ht="15">
      <c r="C56" s="48" t="s">
        <v>346</v>
      </c>
      <c r="D56" s="54">
        <v>173124247.30550006</v>
      </c>
    </row>
    <row r="57" spans="3:4" ht="15">
      <c r="C57" s="45" t="s">
        <v>357</v>
      </c>
      <c r="D57" s="46" t="s">
        <v>67</v>
      </c>
    </row>
    <row r="59" spans="3:5" ht="15">
      <c r="C59" s="1" t="s">
        <v>349</v>
      </c>
      <c r="D59" s="49">
        <f>'Cover Pool Summary'!E55*(1-'Cover Pool Summary'!E51)</f>
        <v>50813611.875</v>
      </c>
      <c r="E59" s="12" t="s">
        <v>351</v>
      </c>
    </row>
    <row r="60" spans="3:5" ht="15">
      <c r="C60" s="20" t="s">
        <v>350</v>
      </c>
      <c r="D60" s="53">
        <f>SUMPRODUCT('Covered Bond Series'!$I$5:$I$8,'Covered Bond Series'!$E$5:$E$8)</f>
        <v>18286000</v>
      </c>
      <c r="E60" s="12" t="s">
        <v>352</v>
      </c>
    </row>
    <row r="61" spans="3:5" ht="15">
      <c r="C61" s="48" t="s">
        <v>353</v>
      </c>
      <c r="D61" s="54">
        <f>D59-D60</f>
        <v>32527611.875</v>
      </c>
      <c r="E61" s="12" t="s">
        <v>355</v>
      </c>
    </row>
    <row r="62" spans="3:4" ht="15">
      <c r="C62" s="115" t="s">
        <v>356</v>
      </c>
      <c r="D62" s="46" t="s">
        <v>67</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headerFooter>
    <oddFooter>&amp;LBelfius Mortgage Pandbrieven Programme - Investor Report&amp;R&amp;P</oddFooter>
  </headerFooter>
  <rowBreaks count="1" manualBreakCount="1">
    <brk id="51" min="1" max="4" man="1"/>
  </rowBreaks>
</worksheet>
</file>

<file path=xl/worksheets/sheet5.xml><?xml version="1.0" encoding="utf-8"?>
<worksheet xmlns="http://schemas.openxmlformats.org/spreadsheetml/2006/main" xmlns:r="http://schemas.openxmlformats.org/officeDocument/2006/relationships">
  <sheetPr>
    <pageSetUpPr fitToPage="1"/>
  </sheetPr>
  <dimension ref="B2:I61"/>
  <sheetViews>
    <sheetView zoomScalePageLayoutView="0" workbookViewId="0" topLeftCell="A1">
      <selection activeCell="H17" sqref="H17"/>
    </sheetView>
  </sheetViews>
  <sheetFormatPr defaultColWidth="11.7109375" defaultRowHeight="15"/>
  <cols>
    <col min="1" max="1" width="4.57421875" style="12" customWidth="1"/>
    <col min="2" max="2" width="3.421875" style="12" customWidth="1"/>
    <col min="3" max="3" width="3.57421875" style="12" customWidth="1"/>
    <col min="4" max="4" width="41.421875" style="12" customWidth="1"/>
    <col min="5" max="5" width="26.00390625" style="12" customWidth="1"/>
    <col min="6" max="9" width="21.140625" style="12" customWidth="1"/>
    <col min="10" max="16384" width="11.7109375" style="12" customWidth="1"/>
  </cols>
  <sheetData>
    <row r="2" spans="2:3" ht="18.75">
      <c r="B2" s="17" t="s">
        <v>103</v>
      </c>
      <c r="C2" s="17"/>
    </row>
    <row r="4" spans="2:6" ht="15">
      <c r="B4" s="12" t="s">
        <v>104</v>
      </c>
      <c r="F4" s="64">
        <v>41274</v>
      </c>
    </row>
    <row r="6" spans="2:3" ht="18.75">
      <c r="B6" s="17" t="s">
        <v>306</v>
      </c>
      <c r="C6" s="17"/>
    </row>
    <row r="7" spans="2:3" ht="16.5" customHeight="1">
      <c r="B7" s="17"/>
      <c r="C7" s="20"/>
    </row>
    <row r="8" spans="2:3" ht="16.5" customHeight="1">
      <c r="B8" s="17"/>
      <c r="C8" s="20" t="s">
        <v>328</v>
      </c>
    </row>
    <row r="9" ht="15">
      <c r="C9" s="20"/>
    </row>
    <row r="10" spans="3:6" ht="15">
      <c r="C10" s="1" t="s">
        <v>105</v>
      </c>
      <c r="D10" s="1"/>
      <c r="E10" s="1"/>
      <c r="F10" s="49">
        <f>'Stratification Tables Mortgages'!C20</f>
        <v>2701887071.0599937</v>
      </c>
    </row>
    <row r="11" spans="3:6" ht="15">
      <c r="C11" s="20"/>
      <c r="D11" s="20" t="s">
        <v>106</v>
      </c>
      <c r="E11" s="20"/>
      <c r="F11" s="53">
        <v>10971305.199999962</v>
      </c>
    </row>
    <row r="12" spans="3:6" ht="15">
      <c r="C12" s="48"/>
      <c r="D12" s="48" t="s">
        <v>359</v>
      </c>
      <c r="E12" s="48"/>
      <c r="F12" s="54">
        <v>7711061.8200000515</v>
      </c>
    </row>
    <row r="13" spans="3:6" ht="15">
      <c r="C13" s="20" t="s">
        <v>107</v>
      </c>
      <c r="D13" s="20"/>
      <c r="E13" s="20"/>
      <c r="F13" s="43">
        <v>30031</v>
      </c>
    </row>
    <row r="14" spans="3:6" ht="15">
      <c r="C14" s="48" t="s">
        <v>302</v>
      </c>
      <c r="D14" s="48"/>
      <c r="E14" s="48"/>
      <c r="F14" s="87">
        <v>42742</v>
      </c>
    </row>
    <row r="15" spans="3:6" ht="15">
      <c r="C15" s="20" t="s">
        <v>108</v>
      </c>
      <c r="D15" s="20"/>
      <c r="E15" s="20"/>
      <c r="F15" s="53">
        <f>F10/F13</f>
        <v>89969.93343744776</v>
      </c>
    </row>
    <row r="16" spans="3:6" ht="15">
      <c r="C16" s="48" t="s">
        <v>303</v>
      </c>
      <c r="D16" s="48"/>
      <c r="E16" s="48"/>
      <c r="F16" s="54">
        <f>F10/F14</f>
        <v>63213.866245379104</v>
      </c>
    </row>
    <row r="17" spans="3:6" ht="15">
      <c r="C17" s="20" t="s">
        <v>110</v>
      </c>
      <c r="D17" s="20"/>
      <c r="E17" s="20"/>
      <c r="F17" s="70">
        <f>'Stratification Tables Mortgages'!D6</f>
        <v>0.792306127341392</v>
      </c>
    </row>
    <row r="18" spans="3:6" ht="15">
      <c r="C18" s="48" t="s">
        <v>111</v>
      </c>
      <c r="D18" s="48"/>
      <c r="E18" s="48"/>
      <c r="F18" s="104">
        <f>'Stratification Tables Mortgages'!D24</f>
        <v>0.6356122315742401</v>
      </c>
    </row>
    <row r="19" spans="3:6" ht="15">
      <c r="C19" s="20" t="s">
        <v>109</v>
      </c>
      <c r="D19" s="20"/>
      <c r="E19" s="20"/>
      <c r="F19" s="103">
        <f>'Stratification Tables Mortgages'!D167</f>
        <v>32.06914763748688</v>
      </c>
    </row>
    <row r="20" spans="3:6" ht="15">
      <c r="C20" s="48" t="s">
        <v>304</v>
      </c>
      <c r="D20" s="48"/>
      <c r="E20" s="48"/>
      <c r="F20" s="105">
        <f>'Stratification Tables Mortgages'!D42/12</f>
        <v>18.02854459523188</v>
      </c>
    </row>
    <row r="21" spans="3:6" ht="15">
      <c r="C21" s="20" t="s">
        <v>305</v>
      </c>
      <c r="D21" s="20"/>
      <c r="E21" s="20"/>
      <c r="F21" s="103">
        <f>'Stratification Tables Mortgages'!D88</f>
        <v>20.452653049086816</v>
      </c>
    </row>
    <row r="22" spans="3:6" ht="15">
      <c r="C22" s="48" t="s">
        <v>389</v>
      </c>
      <c r="D22" s="48"/>
      <c r="E22" s="48"/>
      <c r="F22" s="105">
        <v>10.445733050402115</v>
      </c>
    </row>
    <row r="23" spans="3:6" ht="15">
      <c r="C23" s="20" t="s">
        <v>390</v>
      </c>
      <c r="D23" s="20"/>
      <c r="E23" s="20"/>
      <c r="F23" s="103">
        <v>9.017682891923114</v>
      </c>
    </row>
    <row r="24" spans="3:6" ht="15">
      <c r="C24" s="48" t="s">
        <v>391</v>
      </c>
      <c r="D24" s="48"/>
      <c r="E24" s="48"/>
      <c r="F24" s="105">
        <v>7.3758535892706</v>
      </c>
    </row>
    <row r="25" spans="3:6" ht="15">
      <c r="C25" s="20" t="s">
        <v>392</v>
      </c>
      <c r="D25" s="20"/>
      <c r="E25" s="20"/>
      <c r="F25" s="103">
        <v>5.506880678749189</v>
      </c>
    </row>
    <row r="26" spans="3:6" ht="15">
      <c r="C26" s="48" t="s">
        <v>393</v>
      </c>
      <c r="D26" s="48"/>
      <c r="E26" s="48"/>
      <c r="F26" s="105">
        <f>'Stratification Tables Mortgages'!D221</f>
        <v>9.174347454566538</v>
      </c>
    </row>
    <row r="27" spans="3:6" ht="15">
      <c r="C27" s="20" t="s">
        <v>394</v>
      </c>
      <c r="D27" s="20"/>
      <c r="E27" s="20"/>
      <c r="F27" s="70">
        <f>'Stratification Tables Mortgages'!D154</f>
        <v>0.8460872502503026</v>
      </c>
    </row>
    <row r="28" spans="3:6" ht="15">
      <c r="C28" s="48" t="s">
        <v>395</v>
      </c>
      <c r="D28" s="48"/>
      <c r="E28" s="48"/>
      <c r="F28" s="104">
        <f>SUM('Stratification Tables Mortgages'!D155:D162)</f>
        <v>0.15391274974969732</v>
      </c>
    </row>
    <row r="29" spans="3:6" ht="15">
      <c r="C29" s="20" t="s">
        <v>396</v>
      </c>
      <c r="D29" s="20"/>
      <c r="E29" s="20"/>
      <c r="F29" s="109">
        <f>'Stratification Tables Mortgages'!D108</f>
        <v>0.03815770811740922</v>
      </c>
    </row>
    <row r="30" spans="3:6" ht="15">
      <c r="C30" s="48" t="s">
        <v>397</v>
      </c>
      <c r="D30" s="48"/>
      <c r="E30" s="48"/>
      <c r="F30" s="108">
        <v>0.03968748474300599</v>
      </c>
    </row>
    <row r="31" spans="3:6" ht="15">
      <c r="C31" s="23" t="s">
        <v>398</v>
      </c>
      <c r="D31" s="23"/>
      <c r="E31" s="23"/>
      <c r="F31" s="135">
        <v>0.02974823911141174</v>
      </c>
    </row>
    <row r="32" spans="3:6" ht="15">
      <c r="C32" s="20"/>
      <c r="D32" s="20"/>
      <c r="E32" s="20"/>
      <c r="F32" s="70"/>
    </row>
    <row r="34" spans="2:3" ht="18.75">
      <c r="B34" s="17" t="s">
        <v>307</v>
      </c>
      <c r="C34" s="17"/>
    </row>
    <row r="36" spans="3:6" ht="15">
      <c r="C36" s="106" t="s">
        <v>308</v>
      </c>
      <c r="D36" s="106"/>
      <c r="E36" s="106"/>
      <c r="F36" s="107">
        <v>66435765.11</v>
      </c>
    </row>
    <row r="37" ht="15">
      <c r="F37" s="82"/>
    </row>
    <row r="38" ht="15">
      <c r="F38" s="82"/>
    </row>
    <row r="39" ht="18.75">
      <c r="B39" s="17" t="s">
        <v>309</v>
      </c>
    </row>
    <row r="41" spans="5:9" ht="15">
      <c r="E41" s="18" t="s">
        <v>310</v>
      </c>
      <c r="F41" s="18" t="s">
        <v>311</v>
      </c>
      <c r="G41" s="18" t="s">
        <v>312</v>
      </c>
      <c r="H41" s="18" t="s">
        <v>313</v>
      </c>
      <c r="I41" s="18" t="s">
        <v>314</v>
      </c>
    </row>
    <row r="42" spans="3:9" ht="15">
      <c r="C42" s="1" t="s">
        <v>22</v>
      </c>
      <c r="D42" s="2"/>
      <c r="E42" s="96" t="s">
        <v>323</v>
      </c>
      <c r="F42" s="96"/>
      <c r="G42" s="96"/>
      <c r="H42" s="96"/>
      <c r="I42" s="96"/>
    </row>
    <row r="43" spans="3:9" ht="15">
      <c r="C43" s="20" t="s">
        <v>315</v>
      </c>
      <c r="D43" s="21"/>
      <c r="E43" s="92" t="s">
        <v>324</v>
      </c>
      <c r="F43" s="92"/>
      <c r="G43" s="92"/>
      <c r="H43" s="92"/>
      <c r="I43" s="92"/>
    </row>
    <row r="44" spans="3:9" ht="15">
      <c r="C44" s="48" t="s">
        <v>21</v>
      </c>
      <c r="D44" s="98"/>
      <c r="E44" s="97" t="s">
        <v>325</v>
      </c>
      <c r="F44" s="97"/>
      <c r="G44" s="97"/>
      <c r="H44" s="97"/>
      <c r="I44" s="97"/>
    </row>
    <row r="45" spans="3:9" ht="15">
      <c r="C45" s="20" t="s">
        <v>23</v>
      </c>
      <c r="D45" s="21"/>
      <c r="E45" s="92" t="s">
        <v>33</v>
      </c>
      <c r="F45" s="92"/>
      <c r="G45" s="92"/>
      <c r="H45" s="92"/>
      <c r="I45" s="92"/>
    </row>
    <row r="46" spans="3:9" ht="15">
      <c r="C46" s="48" t="s">
        <v>316</v>
      </c>
      <c r="D46" s="98"/>
      <c r="E46" s="99">
        <v>42750000</v>
      </c>
      <c r="F46" s="99"/>
      <c r="G46" s="99"/>
      <c r="H46" s="99"/>
      <c r="I46" s="99"/>
    </row>
    <row r="47" spans="3:9" ht="15">
      <c r="C47" s="20" t="s">
        <v>25</v>
      </c>
      <c r="D47" s="21"/>
      <c r="E47" s="94">
        <v>37412</v>
      </c>
      <c r="F47" s="94"/>
      <c r="G47" s="94"/>
      <c r="H47" s="94"/>
      <c r="I47" s="94"/>
    </row>
    <row r="48" spans="3:9" ht="15">
      <c r="C48" s="48" t="s">
        <v>26</v>
      </c>
      <c r="D48" s="98"/>
      <c r="E48" s="100">
        <v>43006</v>
      </c>
      <c r="F48" s="100"/>
      <c r="G48" s="100"/>
      <c r="H48" s="100"/>
      <c r="I48" s="100"/>
    </row>
    <row r="49" spans="3:9" ht="15">
      <c r="C49" s="20" t="s">
        <v>27</v>
      </c>
      <c r="D49" s="21"/>
      <c r="E49" s="92" t="s">
        <v>34</v>
      </c>
      <c r="F49" s="92"/>
      <c r="G49" s="92"/>
      <c r="H49" s="92"/>
      <c r="I49" s="92"/>
    </row>
    <row r="50" spans="3:9" ht="15">
      <c r="C50" s="48" t="s">
        <v>28</v>
      </c>
      <c r="D50" s="98"/>
      <c r="E50" s="101">
        <v>0.055</v>
      </c>
      <c r="F50" s="101"/>
      <c r="G50" s="101"/>
      <c r="H50" s="101"/>
      <c r="I50" s="101"/>
    </row>
    <row r="51" spans="3:9" ht="15">
      <c r="C51" s="20" t="s">
        <v>317</v>
      </c>
      <c r="D51" s="21"/>
      <c r="E51" s="95">
        <v>0.025</v>
      </c>
      <c r="F51" s="95"/>
      <c r="G51" s="95"/>
      <c r="H51" s="95"/>
      <c r="I51" s="95"/>
    </row>
    <row r="52" spans="3:9" ht="15">
      <c r="C52" s="48" t="s">
        <v>318</v>
      </c>
      <c r="D52" s="98"/>
      <c r="E52" s="98" t="s">
        <v>326</v>
      </c>
      <c r="F52" s="98"/>
      <c r="G52" s="98"/>
      <c r="H52" s="98"/>
      <c r="I52" s="98"/>
    </row>
    <row r="53" spans="3:9" ht="15">
      <c r="C53" s="20" t="s">
        <v>319</v>
      </c>
      <c r="D53" s="21"/>
      <c r="E53" s="21" t="s">
        <v>326</v>
      </c>
      <c r="F53" s="21"/>
      <c r="G53" s="21"/>
      <c r="H53" s="21"/>
      <c r="I53" s="21"/>
    </row>
    <row r="54" spans="3:9" ht="15">
      <c r="C54" s="48" t="s">
        <v>320</v>
      </c>
      <c r="D54" s="98"/>
      <c r="E54" s="98" t="s">
        <v>327</v>
      </c>
      <c r="F54" s="98"/>
      <c r="G54" s="98"/>
      <c r="H54" s="98"/>
      <c r="I54" s="98"/>
    </row>
    <row r="55" spans="3:9" ht="15">
      <c r="C55" s="20" t="s">
        <v>321</v>
      </c>
      <c r="D55" s="21"/>
      <c r="E55" s="93">
        <v>52116525</v>
      </c>
      <c r="F55" s="93"/>
      <c r="G55" s="93"/>
      <c r="H55" s="93"/>
      <c r="I55" s="93"/>
    </row>
    <row r="56" spans="3:9" ht="15">
      <c r="C56" s="4" t="s">
        <v>322</v>
      </c>
      <c r="D56" s="5"/>
      <c r="E56" s="102">
        <v>48404594.78</v>
      </c>
      <c r="F56" s="102"/>
      <c r="G56" s="102"/>
      <c r="H56" s="102"/>
      <c r="I56" s="102"/>
    </row>
    <row r="59" ht="18.75">
      <c r="B59" s="17" t="s">
        <v>329</v>
      </c>
    </row>
    <row r="61" ht="15">
      <c r="C61" s="12" t="s">
        <v>330</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82" r:id="rId1"/>
  <headerFooter>
    <oddFooter>&amp;LBelfius Mortgage Pandbrieven Programme - Investor Report&amp;R&amp;P</oddFooter>
  </headerFooter>
  <rowBreaks count="1" manualBreakCount="1">
    <brk id="38" min="1" max="8" man="1"/>
  </rowBreaks>
</worksheet>
</file>

<file path=xl/worksheets/sheet6.xml><?xml version="1.0" encoding="utf-8"?>
<worksheet xmlns="http://schemas.openxmlformats.org/spreadsheetml/2006/main" xmlns:r="http://schemas.openxmlformats.org/officeDocument/2006/relationships">
  <dimension ref="B2:F274"/>
  <sheetViews>
    <sheetView zoomScalePageLayoutView="0" workbookViewId="0" topLeftCell="A1">
      <selection activeCell="B152" sqref="B152"/>
    </sheetView>
  </sheetViews>
  <sheetFormatPr defaultColWidth="9.140625" defaultRowHeight="15"/>
  <cols>
    <col min="1" max="1" width="4.140625" style="12" customWidth="1"/>
    <col min="2" max="2" width="22.7109375" style="12" customWidth="1"/>
    <col min="3" max="3" width="20.57421875" style="12" customWidth="1"/>
    <col min="4" max="4" width="17.57421875" style="12" customWidth="1"/>
    <col min="5" max="5" width="10.00390625" style="12" bestFit="1" customWidth="1"/>
    <col min="6" max="16384" width="9.140625" style="12" customWidth="1"/>
  </cols>
  <sheetData>
    <row r="2" ht="18.75">
      <c r="B2" s="17" t="s">
        <v>331</v>
      </c>
    </row>
    <row r="5" spans="2:5" ht="15">
      <c r="B5" s="16" t="s">
        <v>128</v>
      </c>
      <c r="C5" s="65"/>
      <c r="D5" s="73" t="s">
        <v>112</v>
      </c>
      <c r="E5" s="20"/>
    </row>
    <row r="6" spans="2:5" ht="15">
      <c r="B6" s="23"/>
      <c r="C6" s="66" t="s">
        <v>113</v>
      </c>
      <c r="D6" s="74">
        <v>0.792306127341392</v>
      </c>
      <c r="E6" s="20"/>
    </row>
    <row r="7" spans="2:5" ht="15">
      <c r="B7" s="48" t="s">
        <v>114</v>
      </c>
      <c r="C7" s="83">
        <v>4379724.289999997</v>
      </c>
      <c r="D7" s="59">
        <v>0.001620987174819916</v>
      </c>
      <c r="E7" s="60"/>
    </row>
    <row r="8" spans="2:5" ht="15">
      <c r="B8" s="20" t="s">
        <v>115</v>
      </c>
      <c r="C8" s="67">
        <v>29919036.070000052</v>
      </c>
      <c r="D8" s="60">
        <v>0.011073385113117378</v>
      </c>
      <c r="E8" s="60"/>
    </row>
    <row r="9" spans="2:5" ht="15">
      <c r="B9" s="48" t="s">
        <v>116</v>
      </c>
      <c r="C9" s="83">
        <v>64540603.96999966</v>
      </c>
      <c r="D9" s="59">
        <v>0.023887232246416333</v>
      </c>
      <c r="E9" s="60"/>
    </row>
    <row r="10" spans="2:5" ht="15">
      <c r="B10" s="20" t="s">
        <v>117</v>
      </c>
      <c r="C10" s="67">
        <v>109196091.68000072</v>
      </c>
      <c r="D10" s="60">
        <v>0.040414750434836395</v>
      </c>
      <c r="E10" s="60"/>
    </row>
    <row r="11" spans="2:5" ht="15">
      <c r="B11" s="48" t="s">
        <v>118</v>
      </c>
      <c r="C11" s="83">
        <v>161976794.4399996</v>
      </c>
      <c r="D11" s="59">
        <v>0.05994950572691904</v>
      </c>
      <c r="E11" s="60"/>
    </row>
    <row r="12" spans="2:5" ht="15">
      <c r="B12" s="20" t="s">
        <v>119</v>
      </c>
      <c r="C12" s="67">
        <v>227284756.30999744</v>
      </c>
      <c r="D12" s="60">
        <v>0.08412074610536183</v>
      </c>
      <c r="E12" s="60"/>
    </row>
    <row r="13" spans="2:5" ht="15">
      <c r="B13" s="48" t="s">
        <v>120</v>
      </c>
      <c r="C13" s="83">
        <v>269908345.75999916</v>
      </c>
      <c r="D13" s="59">
        <v>0.09989623498738967</v>
      </c>
      <c r="E13" s="60"/>
    </row>
    <row r="14" spans="2:5" ht="15">
      <c r="B14" s="20" t="s">
        <v>121</v>
      </c>
      <c r="C14" s="67">
        <v>344319195.49999785</v>
      </c>
      <c r="D14" s="60">
        <v>0.1274365606127705</v>
      </c>
      <c r="E14" s="60"/>
    </row>
    <row r="15" spans="2:5" ht="15">
      <c r="B15" s="48" t="s">
        <v>122</v>
      </c>
      <c r="C15" s="83">
        <v>360518876.5800009</v>
      </c>
      <c r="D15" s="59">
        <v>0.13343225201435363</v>
      </c>
      <c r="E15" s="60"/>
    </row>
    <row r="16" spans="2:5" ht="15">
      <c r="B16" s="20" t="s">
        <v>123</v>
      </c>
      <c r="C16" s="67">
        <v>730253239.6199996</v>
      </c>
      <c r="D16" s="60">
        <v>0.270275263330495</v>
      </c>
      <c r="E16" s="20" t="s">
        <v>124</v>
      </c>
    </row>
    <row r="17" spans="2:5" ht="15">
      <c r="B17" s="48" t="s">
        <v>125</v>
      </c>
      <c r="C17" s="83">
        <v>296949866.0899968</v>
      </c>
      <c r="D17" s="59">
        <v>0.10990461787638615</v>
      </c>
      <c r="E17" s="60"/>
    </row>
    <row r="18" spans="2:5" ht="15">
      <c r="B18" s="20" t="s">
        <v>126</v>
      </c>
      <c r="C18" s="67">
        <v>102640540.7500019</v>
      </c>
      <c r="D18" s="60">
        <v>0.03798846437713416</v>
      </c>
      <c r="E18" s="60"/>
    </row>
    <row r="19" spans="2:5" ht="15">
      <c r="B19" s="84" t="s">
        <v>127</v>
      </c>
      <c r="C19" s="85">
        <v>0</v>
      </c>
      <c r="D19" s="86">
        <v>0</v>
      </c>
      <c r="E19" s="60"/>
    </row>
    <row r="20" spans="2:5" ht="15">
      <c r="B20" s="20"/>
      <c r="C20" s="67">
        <v>2701887071.0599937</v>
      </c>
      <c r="D20" s="70">
        <v>1</v>
      </c>
      <c r="E20" s="60"/>
    </row>
    <row r="23" spans="2:5" ht="15">
      <c r="B23" s="16" t="s">
        <v>130</v>
      </c>
      <c r="C23" s="65"/>
      <c r="D23" s="73" t="s">
        <v>112</v>
      </c>
      <c r="E23" s="20"/>
    </row>
    <row r="24" spans="2:5" ht="15">
      <c r="B24" s="23"/>
      <c r="C24" s="66" t="s">
        <v>113</v>
      </c>
      <c r="D24" s="74">
        <v>0.6356122315742401</v>
      </c>
      <c r="E24" s="20"/>
    </row>
    <row r="25" spans="2:5" ht="15">
      <c r="B25" s="48" t="s">
        <v>114</v>
      </c>
      <c r="C25" s="83">
        <v>55259289.249999955</v>
      </c>
      <c r="D25" s="59">
        <v>0.02045210913582737</v>
      </c>
      <c r="E25" s="20"/>
    </row>
    <row r="26" spans="2:5" ht="15">
      <c r="B26" s="20" t="s">
        <v>115</v>
      </c>
      <c r="C26" s="67">
        <v>155467828.53999978</v>
      </c>
      <c r="D26" s="60">
        <v>0.05754046133356982</v>
      </c>
      <c r="E26" s="20"/>
    </row>
    <row r="27" spans="2:5" ht="15">
      <c r="B27" s="48" t="s">
        <v>116</v>
      </c>
      <c r="C27" s="83">
        <v>210324869.4600001</v>
      </c>
      <c r="D27" s="59">
        <v>0.07784369365870139</v>
      </c>
      <c r="E27" s="60"/>
    </row>
    <row r="28" spans="2:5" ht="15">
      <c r="B28" s="20" t="s">
        <v>117</v>
      </c>
      <c r="C28" s="67">
        <v>225488264.24999887</v>
      </c>
      <c r="D28" s="60">
        <v>0.08345584338635448</v>
      </c>
      <c r="E28" s="60"/>
    </row>
    <row r="29" spans="2:5" ht="15">
      <c r="B29" s="48" t="s">
        <v>118</v>
      </c>
      <c r="C29" s="83">
        <v>267893762.84999645</v>
      </c>
      <c r="D29" s="59">
        <v>0.09915061429451136</v>
      </c>
      <c r="E29" s="60"/>
    </row>
    <row r="30" spans="2:5" ht="15">
      <c r="B30" s="20" t="s">
        <v>119</v>
      </c>
      <c r="C30" s="67">
        <v>275839117.35999703</v>
      </c>
      <c r="D30" s="60">
        <v>0.1020912829090895</v>
      </c>
      <c r="E30" s="60"/>
    </row>
    <row r="31" spans="2:5" ht="15">
      <c r="B31" s="48" t="s">
        <v>120</v>
      </c>
      <c r="C31" s="83">
        <v>276744964.5600014</v>
      </c>
      <c r="D31" s="59">
        <v>0.10242654755049768</v>
      </c>
      <c r="E31" s="60"/>
    </row>
    <row r="32" spans="2:5" ht="15">
      <c r="B32" s="20" t="s">
        <v>121</v>
      </c>
      <c r="C32" s="67">
        <v>287710892.24999356</v>
      </c>
      <c r="D32" s="60">
        <v>0.10648516562060455</v>
      </c>
      <c r="E32" s="60"/>
    </row>
    <row r="33" spans="2:5" ht="15">
      <c r="B33" s="48" t="s">
        <v>122</v>
      </c>
      <c r="C33" s="83">
        <v>327070040.10000587</v>
      </c>
      <c r="D33" s="59">
        <v>0.12105244649314341</v>
      </c>
      <c r="E33" s="60"/>
    </row>
    <row r="34" spans="2:5" ht="15">
      <c r="B34" s="20" t="s">
        <v>123</v>
      </c>
      <c r="C34" s="67">
        <v>458964048.81000876</v>
      </c>
      <c r="D34" s="60">
        <v>0.1698679614429443</v>
      </c>
      <c r="E34" s="20" t="s">
        <v>129</v>
      </c>
    </row>
    <row r="35" spans="2:5" ht="15">
      <c r="B35" s="48" t="s">
        <v>125</v>
      </c>
      <c r="C35" s="83">
        <v>144958864.2799902</v>
      </c>
      <c r="D35" s="59">
        <v>0.053650970772483285</v>
      </c>
      <c r="E35" s="60"/>
    </row>
    <row r="36" spans="2:5" ht="15">
      <c r="B36" s="20" t="s">
        <v>126</v>
      </c>
      <c r="C36" s="67">
        <v>16165129.350001812</v>
      </c>
      <c r="D36" s="60">
        <v>0.005982903402272832</v>
      </c>
      <c r="E36" s="20"/>
    </row>
    <row r="37" spans="2:5" ht="15">
      <c r="B37" s="84" t="s">
        <v>127</v>
      </c>
      <c r="C37" s="85">
        <v>0</v>
      </c>
      <c r="D37" s="86">
        <v>0</v>
      </c>
      <c r="E37" s="60"/>
    </row>
    <row r="38" spans="2:5" ht="15">
      <c r="B38" s="20"/>
      <c r="C38" s="67">
        <v>2701887071.0599937</v>
      </c>
      <c r="D38" s="70">
        <v>0.9999999999999999</v>
      </c>
      <c r="E38" s="60"/>
    </row>
    <row r="41" spans="2:4" ht="15">
      <c r="B41" s="71" t="s">
        <v>131</v>
      </c>
      <c r="C41" s="65"/>
      <c r="D41" s="73" t="s">
        <v>112</v>
      </c>
    </row>
    <row r="42" spans="2:4" ht="15">
      <c r="B42" s="72" t="s">
        <v>132</v>
      </c>
      <c r="C42" s="66" t="s">
        <v>113</v>
      </c>
      <c r="D42" s="110">
        <v>216.3425351427826</v>
      </c>
    </row>
    <row r="43" spans="2:4" ht="15">
      <c r="B43" s="48" t="s">
        <v>133</v>
      </c>
      <c r="C43" s="83">
        <v>31601556.419999965</v>
      </c>
      <c r="D43" s="59">
        <v>0.011696105569505552</v>
      </c>
    </row>
    <row r="44" spans="2:4" ht="15">
      <c r="B44" s="20" t="s">
        <v>134</v>
      </c>
      <c r="C44" s="67">
        <v>28886228.2599999</v>
      </c>
      <c r="D44" s="60">
        <v>0.010691130865313054</v>
      </c>
    </row>
    <row r="45" spans="2:4" ht="15">
      <c r="B45" s="48" t="s">
        <v>135</v>
      </c>
      <c r="C45" s="83">
        <v>56280533.95999981</v>
      </c>
      <c r="D45" s="59">
        <v>0.020830083745106275</v>
      </c>
    </row>
    <row r="46" spans="2:4" ht="15">
      <c r="B46" s="20" t="s">
        <v>136</v>
      </c>
      <c r="C46" s="67">
        <v>131103429.24000128</v>
      </c>
      <c r="D46" s="60">
        <v>0.04852291224317039</v>
      </c>
    </row>
    <row r="47" spans="2:4" ht="15">
      <c r="B47" s="48" t="s">
        <v>137</v>
      </c>
      <c r="C47" s="83">
        <v>258996641.4599964</v>
      </c>
      <c r="D47" s="59">
        <v>0.09585768562798844</v>
      </c>
    </row>
    <row r="48" spans="2:4" ht="15">
      <c r="B48" s="20" t="s">
        <v>138</v>
      </c>
      <c r="C48" s="67">
        <v>117057771.18999964</v>
      </c>
      <c r="D48" s="60">
        <v>0.043324449953445136</v>
      </c>
    </row>
    <row r="49" spans="2:4" ht="15">
      <c r="B49" s="48" t="s">
        <v>139</v>
      </c>
      <c r="C49" s="83">
        <v>237343438.3099991</v>
      </c>
      <c r="D49" s="59">
        <v>0.08784358193656276</v>
      </c>
    </row>
    <row r="50" spans="2:4" ht="15">
      <c r="B50" s="20" t="s">
        <v>140</v>
      </c>
      <c r="C50" s="67">
        <v>183922111.18999696</v>
      </c>
      <c r="D50" s="60">
        <v>0.06807172407758723</v>
      </c>
    </row>
    <row r="51" spans="2:4" ht="15">
      <c r="B51" s="48" t="s">
        <v>141</v>
      </c>
      <c r="C51" s="83">
        <v>190565342.29999804</v>
      </c>
      <c r="D51" s="59">
        <v>0.0705304615952122</v>
      </c>
    </row>
    <row r="52" spans="2:4" ht="15">
      <c r="B52" s="20" t="s">
        <v>142</v>
      </c>
      <c r="C52" s="67">
        <v>418108363.00000644</v>
      </c>
      <c r="D52" s="60">
        <v>0.15474679437137767</v>
      </c>
    </row>
    <row r="53" spans="2:4" ht="15">
      <c r="B53" s="48" t="s">
        <v>143</v>
      </c>
      <c r="C53" s="83">
        <v>106074844.71000242</v>
      </c>
      <c r="D53" s="59">
        <v>0.03925954043237904</v>
      </c>
    </row>
    <row r="54" spans="2:4" ht="15">
      <c r="B54" s="20" t="s">
        <v>144</v>
      </c>
      <c r="C54" s="67">
        <v>305429262.1699953</v>
      </c>
      <c r="D54" s="60">
        <v>0.11304294152093088</v>
      </c>
    </row>
    <row r="55" spans="2:4" ht="15">
      <c r="B55" s="48" t="s">
        <v>145</v>
      </c>
      <c r="C55" s="83">
        <v>229714071.67000198</v>
      </c>
      <c r="D55" s="59">
        <v>0.0850198641277337</v>
      </c>
    </row>
    <row r="56" spans="2:4" ht="15">
      <c r="B56" s="20" t="s">
        <v>146</v>
      </c>
      <c r="C56" s="67">
        <v>79981649.73999548</v>
      </c>
      <c r="D56" s="60">
        <v>0.029602143848527714</v>
      </c>
    </row>
    <row r="57" spans="2:4" ht="15">
      <c r="B57" s="4" t="s">
        <v>147</v>
      </c>
      <c r="C57" s="85">
        <v>326821827.440012</v>
      </c>
      <c r="D57" s="86">
        <v>0.12096058008515996</v>
      </c>
    </row>
    <row r="58" spans="2:4" ht="15">
      <c r="B58" s="20"/>
      <c r="C58" s="67">
        <v>2701887071.0600047</v>
      </c>
      <c r="D58" s="70">
        <v>0.9999999999999999</v>
      </c>
    </row>
    <row r="61" spans="2:6" ht="15">
      <c r="B61" s="71" t="s">
        <v>148</v>
      </c>
      <c r="C61" s="65"/>
      <c r="D61" s="73" t="s">
        <v>112</v>
      </c>
      <c r="E61" s="20"/>
      <c r="F61" s="20"/>
    </row>
    <row r="62" spans="2:6" ht="15">
      <c r="B62" s="72" t="s">
        <v>149</v>
      </c>
      <c r="C62" s="66" t="s">
        <v>113</v>
      </c>
      <c r="D62" s="111">
        <v>89969.93343744773</v>
      </c>
      <c r="E62" s="23" t="s">
        <v>150</v>
      </c>
      <c r="F62" s="69"/>
    </row>
    <row r="63" spans="2:6" ht="15">
      <c r="B63" s="48" t="s">
        <v>151</v>
      </c>
      <c r="C63" s="83">
        <v>297864795.7300006</v>
      </c>
      <c r="D63" s="59">
        <v>0.11024324403504532</v>
      </c>
      <c r="E63" s="87">
        <v>12770</v>
      </c>
      <c r="F63" s="59">
        <v>0.42522726515933534</v>
      </c>
    </row>
    <row r="64" spans="2:6" ht="15">
      <c r="B64" s="20" t="s">
        <v>152</v>
      </c>
      <c r="C64" s="67">
        <v>496604653.17999625</v>
      </c>
      <c r="D64" s="60">
        <v>0.1837991892774299</v>
      </c>
      <c r="E64" s="43">
        <v>6675</v>
      </c>
      <c r="F64" s="60">
        <v>0.2222703206686424</v>
      </c>
    </row>
    <row r="65" spans="2:6" ht="15">
      <c r="B65" s="48" t="s">
        <v>153</v>
      </c>
      <c r="C65" s="83">
        <v>601100310.3899916</v>
      </c>
      <c r="D65" s="59">
        <v>0.22247425394954443</v>
      </c>
      <c r="E65" s="87">
        <v>4844</v>
      </c>
      <c r="F65" s="59">
        <v>0.16129999001032266</v>
      </c>
    </row>
    <row r="66" spans="2:6" ht="15">
      <c r="B66" s="20" t="s">
        <v>154</v>
      </c>
      <c r="C66" s="67">
        <v>513241843.81000924</v>
      </c>
      <c r="D66" s="60">
        <v>0.18995680807956802</v>
      </c>
      <c r="E66" s="43">
        <v>2961</v>
      </c>
      <c r="F66" s="60">
        <v>0.09859811528087643</v>
      </c>
    </row>
    <row r="67" spans="2:6" ht="15">
      <c r="B67" s="48" t="s">
        <v>155</v>
      </c>
      <c r="C67" s="83">
        <v>330968817.1000023</v>
      </c>
      <c r="D67" s="59">
        <v>0.12249542945188972</v>
      </c>
      <c r="E67" s="87">
        <v>1490</v>
      </c>
      <c r="F67" s="59">
        <v>0.04961539742266325</v>
      </c>
    </row>
    <row r="68" spans="2:6" ht="15">
      <c r="B68" s="20" t="s">
        <v>156</v>
      </c>
      <c r="C68" s="67">
        <v>179168819.12999249</v>
      </c>
      <c r="D68" s="60">
        <v>0.06631247510270728</v>
      </c>
      <c r="E68" s="43">
        <v>659</v>
      </c>
      <c r="F68" s="60">
        <v>0.021943991209083948</v>
      </c>
    </row>
    <row r="69" spans="2:6" ht="15">
      <c r="B69" s="48" t="s">
        <v>157</v>
      </c>
      <c r="C69" s="83">
        <v>84334183.3899951</v>
      </c>
      <c r="D69" s="59">
        <v>0.031213067449524998</v>
      </c>
      <c r="E69" s="87">
        <v>261</v>
      </c>
      <c r="F69" s="59">
        <v>0.008691019280077254</v>
      </c>
    </row>
    <row r="70" spans="2:6" ht="15">
      <c r="B70" s="20" t="s">
        <v>158</v>
      </c>
      <c r="C70" s="67">
        <v>48315099.78000116</v>
      </c>
      <c r="D70" s="60">
        <v>0.017881983409856722</v>
      </c>
      <c r="E70" s="43">
        <v>130</v>
      </c>
      <c r="F70" s="60">
        <v>0.004328860177816257</v>
      </c>
    </row>
    <row r="71" spans="2:6" ht="15">
      <c r="B71" s="48" t="s">
        <v>159</v>
      </c>
      <c r="C71" s="83">
        <v>29996668.92000103</v>
      </c>
      <c r="D71" s="59">
        <v>0.01110211793871639</v>
      </c>
      <c r="E71" s="87">
        <v>71</v>
      </c>
      <c r="F71" s="59">
        <v>0.002364223635576571</v>
      </c>
    </row>
    <row r="72" spans="2:6" ht="15">
      <c r="B72" s="20" t="s">
        <v>160</v>
      </c>
      <c r="C72" s="67">
        <v>17994004.630001068</v>
      </c>
      <c r="D72" s="60">
        <v>0.006659791529681415</v>
      </c>
      <c r="E72" s="43">
        <v>38</v>
      </c>
      <c r="F72" s="60">
        <v>0.0012653591289001366</v>
      </c>
    </row>
    <row r="73" spans="2:6" ht="15">
      <c r="B73" s="48" t="s">
        <v>161</v>
      </c>
      <c r="C73" s="83">
        <v>16933080.609997272</v>
      </c>
      <c r="D73" s="59">
        <v>0.006267131143772844</v>
      </c>
      <c r="E73" s="87">
        <v>32</v>
      </c>
      <c r="F73" s="59">
        <v>0.001065565582231694</v>
      </c>
    </row>
    <row r="74" spans="2:6" ht="15">
      <c r="B74" s="20" t="s">
        <v>162</v>
      </c>
      <c r="C74" s="67">
        <v>12072035.619998932</v>
      </c>
      <c r="D74" s="60">
        <v>0.004468001549473673</v>
      </c>
      <c r="E74" s="43">
        <v>21</v>
      </c>
      <c r="F74" s="60">
        <v>0.0006992774133395491</v>
      </c>
    </row>
    <row r="75" spans="2:6" ht="15">
      <c r="B75" s="48" t="s">
        <v>163</v>
      </c>
      <c r="C75" s="83">
        <v>7518016.579999447</v>
      </c>
      <c r="D75" s="59">
        <v>0.0027825058495320495</v>
      </c>
      <c r="E75" s="87">
        <v>12</v>
      </c>
      <c r="F75" s="59">
        <v>0.0003995870933368852</v>
      </c>
    </row>
    <row r="76" spans="2:6" ht="15">
      <c r="B76" s="20" t="s">
        <v>164</v>
      </c>
      <c r="C76" s="67">
        <v>8825760.81000042</v>
      </c>
      <c r="D76" s="60">
        <v>0.0032665172813969366</v>
      </c>
      <c r="E76" s="43">
        <v>13</v>
      </c>
      <c r="F76" s="60">
        <v>0.0004328860177816257</v>
      </c>
    </row>
    <row r="77" spans="2:6" ht="15">
      <c r="B77" s="48" t="s">
        <v>165</v>
      </c>
      <c r="C77" s="83">
        <v>7345949.910001755</v>
      </c>
      <c r="D77" s="59">
        <v>0.0027188219628734604</v>
      </c>
      <c r="E77" s="87">
        <v>10</v>
      </c>
      <c r="F77" s="59">
        <v>0.00033298924444740433</v>
      </c>
    </row>
    <row r="78" spans="2:6" ht="15">
      <c r="B78" s="20" t="s">
        <v>166</v>
      </c>
      <c r="C78" s="67">
        <v>7719342.01999855</v>
      </c>
      <c r="D78" s="60">
        <v>0.002857018749110832</v>
      </c>
      <c r="E78" s="43">
        <v>10</v>
      </c>
      <c r="F78" s="60">
        <v>0.00033298924444740433</v>
      </c>
    </row>
    <row r="79" spans="2:6" ht="15">
      <c r="B79" s="48" t="s">
        <v>167</v>
      </c>
      <c r="C79" s="83">
        <v>4140311.369998932</v>
      </c>
      <c r="D79" s="59">
        <v>0.001532377653509635</v>
      </c>
      <c r="E79" s="87">
        <v>5</v>
      </c>
      <c r="F79" s="59">
        <v>0.00016649462222370216</v>
      </c>
    </row>
    <row r="80" spans="2:6" ht="15">
      <c r="B80" s="20" t="s">
        <v>168</v>
      </c>
      <c r="C80" s="67">
        <v>5208357.019999504</v>
      </c>
      <c r="D80" s="60">
        <v>0.0019276738379580697</v>
      </c>
      <c r="E80" s="43">
        <v>6</v>
      </c>
      <c r="F80" s="60">
        <v>0.0001997935466684426</v>
      </c>
    </row>
    <row r="81" spans="2:6" ht="15">
      <c r="B81" s="48" t="s">
        <v>169</v>
      </c>
      <c r="C81" s="83">
        <v>2769946.3100008965</v>
      </c>
      <c r="D81" s="59">
        <v>0.0010251895201949365</v>
      </c>
      <c r="E81" s="87">
        <v>3</v>
      </c>
      <c r="F81" s="59">
        <v>9.98967733342213E-05</v>
      </c>
    </row>
    <row r="82" spans="2:6" ht="15">
      <c r="B82" s="20" t="s">
        <v>170</v>
      </c>
      <c r="C82" s="67">
        <v>1916814.1900014877</v>
      </c>
      <c r="D82" s="60">
        <v>0.0007094353463298122</v>
      </c>
      <c r="E82" s="43">
        <v>2</v>
      </c>
      <c r="F82" s="60">
        <v>6.659784888948087E-05</v>
      </c>
    </row>
    <row r="83" spans="2:6" ht="15">
      <c r="B83" s="84" t="s">
        <v>171</v>
      </c>
      <c r="C83" s="85">
        <v>27848260.56000471</v>
      </c>
      <c r="D83" s="86">
        <v>0.010306966881883557</v>
      </c>
      <c r="E83" s="52">
        <v>18</v>
      </c>
      <c r="F83" s="86">
        <v>0.0005993806400053279</v>
      </c>
    </row>
    <row r="84" spans="2:6" ht="15">
      <c r="B84" s="20"/>
      <c r="C84" s="67">
        <v>2701887071.059993</v>
      </c>
      <c r="D84" s="70">
        <v>1.0000000000000002</v>
      </c>
      <c r="E84" s="43">
        <v>30031</v>
      </c>
      <c r="F84" s="70">
        <v>1</v>
      </c>
    </row>
    <row r="87" spans="2:4" ht="15">
      <c r="B87" s="71" t="s">
        <v>172</v>
      </c>
      <c r="C87" s="65"/>
      <c r="D87" s="73" t="s">
        <v>112</v>
      </c>
    </row>
    <row r="88" spans="2:4" ht="15">
      <c r="B88" s="72" t="s">
        <v>173</v>
      </c>
      <c r="C88" s="66" t="s">
        <v>113</v>
      </c>
      <c r="D88" s="112">
        <v>20.452653049086816</v>
      </c>
    </row>
    <row r="89" spans="2:4" ht="15">
      <c r="B89" s="48" t="s">
        <v>174</v>
      </c>
      <c r="C89" s="83">
        <v>20488297.590000004</v>
      </c>
      <c r="D89" s="59">
        <v>0.007582958521638742</v>
      </c>
    </row>
    <row r="90" spans="2:4" ht="15">
      <c r="B90" s="20" t="s">
        <v>175</v>
      </c>
      <c r="C90" s="67">
        <v>3249792.8499999978</v>
      </c>
      <c r="D90" s="60">
        <v>0.0012027863358201121</v>
      </c>
    </row>
    <row r="91" spans="2:4" ht="15">
      <c r="B91" s="48" t="s">
        <v>176</v>
      </c>
      <c r="C91" s="83">
        <v>10246647.139999997</v>
      </c>
      <c r="D91" s="59">
        <v>0.003792403927518714</v>
      </c>
    </row>
    <row r="92" spans="2:4" ht="15">
      <c r="B92" s="20" t="s">
        <v>177</v>
      </c>
      <c r="C92" s="67">
        <v>20278740.83999999</v>
      </c>
      <c r="D92" s="60">
        <v>0.007505399117974324</v>
      </c>
    </row>
    <row r="93" spans="2:4" ht="15">
      <c r="B93" s="48" t="s">
        <v>178</v>
      </c>
      <c r="C93" s="83">
        <v>302563472.07999814</v>
      </c>
      <c r="D93" s="59">
        <v>0.1119822790969929</v>
      </c>
    </row>
    <row r="94" spans="2:4" ht="15">
      <c r="B94" s="20" t="s">
        <v>179</v>
      </c>
      <c r="C94" s="67">
        <v>42961841.21999878</v>
      </c>
      <c r="D94" s="60">
        <v>0.01590067981751139</v>
      </c>
    </row>
    <row r="95" spans="2:4" ht="15">
      <c r="B95" s="48" t="s">
        <v>180</v>
      </c>
      <c r="C95" s="83">
        <v>55668676.6600008</v>
      </c>
      <c r="D95" s="59">
        <v>0.02060362820351365</v>
      </c>
    </row>
    <row r="96" spans="2:4" ht="15">
      <c r="B96" s="20" t="s">
        <v>181</v>
      </c>
      <c r="C96" s="67">
        <v>314061276.4399981</v>
      </c>
      <c r="D96" s="60">
        <v>0.11623775094226478</v>
      </c>
    </row>
    <row r="97" spans="2:4" ht="15">
      <c r="B97" s="48" t="s">
        <v>182</v>
      </c>
      <c r="C97" s="83">
        <v>120247314.33999968</v>
      </c>
      <c r="D97" s="59">
        <v>0.0445049371707546</v>
      </c>
    </row>
    <row r="98" spans="2:4" ht="15">
      <c r="B98" s="20" t="s">
        <v>183</v>
      </c>
      <c r="C98" s="67">
        <v>679671582.9500028</v>
      </c>
      <c r="D98" s="60">
        <v>0.2515544007112606</v>
      </c>
    </row>
    <row r="99" spans="2:4" ht="15">
      <c r="B99" s="48" t="s">
        <v>184</v>
      </c>
      <c r="C99" s="83">
        <v>32602639.699998856</v>
      </c>
      <c r="D99" s="59">
        <v>0.012066618197779889</v>
      </c>
    </row>
    <row r="100" spans="2:4" ht="15">
      <c r="B100" s="20" t="s">
        <v>185</v>
      </c>
      <c r="C100" s="67">
        <v>36823282.07000065</v>
      </c>
      <c r="D100" s="60">
        <v>0.01362872729375552</v>
      </c>
    </row>
    <row r="101" spans="2:4" ht="15">
      <c r="B101" s="48" t="s">
        <v>186</v>
      </c>
      <c r="C101" s="83">
        <v>604972185.0199909</v>
      </c>
      <c r="D101" s="59">
        <v>0.22390728002656607</v>
      </c>
    </row>
    <row r="102" spans="2:4" ht="15">
      <c r="B102" s="20" t="s">
        <v>187</v>
      </c>
      <c r="C102" s="67">
        <v>34814020.870007515</v>
      </c>
      <c r="D102" s="60">
        <v>0.012885076227982125</v>
      </c>
    </row>
    <row r="103" spans="2:4" ht="15">
      <c r="B103" s="4" t="s">
        <v>188</v>
      </c>
      <c r="C103" s="85">
        <v>423237301.29000854</v>
      </c>
      <c r="D103" s="86">
        <v>0.15664507440866654</v>
      </c>
    </row>
    <row r="104" spans="2:4" ht="15">
      <c r="B104" s="20"/>
      <c r="C104" s="67">
        <v>2701887071.0600047</v>
      </c>
      <c r="D104" s="70">
        <v>1</v>
      </c>
    </row>
    <row r="107" spans="2:4" ht="15">
      <c r="B107" s="71" t="s">
        <v>189</v>
      </c>
      <c r="C107" s="53"/>
      <c r="D107" s="73" t="s">
        <v>112</v>
      </c>
    </row>
    <row r="108" spans="2:4" ht="15">
      <c r="B108" s="72" t="s">
        <v>190</v>
      </c>
      <c r="C108" s="23" t="s">
        <v>189</v>
      </c>
      <c r="D108" s="74">
        <v>0.03815770811740922</v>
      </c>
    </row>
    <row r="109" spans="2:4" ht="15">
      <c r="B109" s="48" t="s">
        <v>191</v>
      </c>
      <c r="C109" s="54">
        <v>4433890.240000001</v>
      </c>
      <c r="D109" s="59">
        <v>0.0016410346263141548</v>
      </c>
    </row>
    <row r="110" spans="2:4" ht="15">
      <c r="B110" s="20" t="s">
        <v>192</v>
      </c>
      <c r="C110" s="53">
        <v>11800791.089999996</v>
      </c>
      <c r="D110" s="60">
        <v>0.004367610777074524</v>
      </c>
    </row>
    <row r="111" spans="2:4" ht="15">
      <c r="B111" s="48" t="s">
        <v>193</v>
      </c>
      <c r="C111" s="54">
        <v>18903521.540000096</v>
      </c>
      <c r="D111" s="59">
        <v>0.0069964143736710145</v>
      </c>
    </row>
    <row r="112" spans="2:4" ht="15">
      <c r="B112" s="20" t="s">
        <v>194</v>
      </c>
      <c r="C112" s="53">
        <v>68028407.75999981</v>
      </c>
      <c r="D112" s="60">
        <v>0.025178109214353987</v>
      </c>
    </row>
    <row r="113" spans="2:4" ht="15">
      <c r="B113" s="48" t="s">
        <v>195</v>
      </c>
      <c r="C113" s="54">
        <v>97694738.83000049</v>
      </c>
      <c r="D113" s="59">
        <v>0.036157965251920346</v>
      </c>
    </row>
    <row r="114" spans="2:4" ht="15">
      <c r="B114" s="20" t="s">
        <v>196</v>
      </c>
      <c r="C114" s="53">
        <v>100293211.14000016</v>
      </c>
      <c r="D114" s="60">
        <v>0.037119690239552874</v>
      </c>
    </row>
    <row r="115" spans="2:4" ht="15">
      <c r="B115" s="48" t="s">
        <v>197</v>
      </c>
      <c r="C115" s="54">
        <v>353013051.63999695</v>
      </c>
      <c r="D115" s="59">
        <v>0.13065425843334852</v>
      </c>
    </row>
    <row r="116" spans="2:4" ht="15">
      <c r="B116" s="20" t="s">
        <v>198</v>
      </c>
      <c r="C116" s="53">
        <v>949994329.0600003</v>
      </c>
      <c r="D116" s="60">
        <v>0.35160401011404907</v>
      </c>
    </row>
    <row r="117" spans="2:4" ht="15">
      <c r="B117" s="48" t="s">
        <v>199</v>
      </c>
      <c r="C117" s="54">
        <v>686157723.0499911</v>
      </c>
      <c r="D117" s="59">
        <v>0.253954997009108</v>
      </c>
    </row>
    <row r="118" spans="2:4" ht="15">
      <c r="B118" s="20" t="s">
        <v>200</v>
      </c>
      <c r="C118" s="53">
        <v>290666122.4100089</v>
      </c>
      <c r="D118" s="60">
        <v>0.1075789308603393</v>
      </c>
    </row>
    <row r="119" spans="2:4" ht="15">
      <c r="B119" s="48" t="s">
        <v>201</v>
      </c>
      <c r="C119" s="54">
        <v>93883153.9400115</v>
      </c>
      <c r="D119" s="59">
        <v>0.03474725311268441</v>
      </c>
    </row>
    <row r="120" spans="2:4" ht="15">
      <c r="B120" s="20" t="s">
        <v>202</v>
      </c>
      <c r="C120" s="53">
        <v>19369820.229995728</v>
      </c>
      <c r="D120" s="60">
        <v>0.007168996971585699</v>
      </c>
    </row>
    <row r="121" spans="2:4" ht="15">
      <c r="B121" s="48" t="s">
        <v>203</v>
      </c>
      <c r="C121" s="54">
        <v>4305280.129999161</v>
      </c>
      <c r="D121" s="59">
        <v>0.0015934345206774733</v>
      </c>
    </row>
    <row r="122" spans="2:4" ht="15">
      <c r="B122" s="20" t="s">
        <v>204</v>
      </c>
      <c r="C122" s="53">
        <v>1404877.3900003433</v>
      </c>
      <c r="D122" s="60">
        <v>0.0005199615502246664</v>
      </c>
    </row>
    <row r="123" spans="2:4" ht="15">
      <c r="B123" s="48" t="s">
        <v>205</v>
      </c>
      <c r="C123" s="54">
        <v>980822.3999996185</v>
      </c>
      <c r="D123" s="59">
        <v>0.0003630138396623743</v>
      </c>
    </row>
    <row r="124" spans="2:4" ht="15">
      <c r="B124" s="20" t="s">
        <v>206</v>
      </c>
      <c r="C124" s="53">
        <v>516438.33999967575</v>
      </c>
      <c r="D124" s="60">
        <v>0.00019113986869816383</v>
      </c>
    </row>
    <row r="125" spans="2:4" ht="15">
      <c r="B125" s="48" t="s">
        <v>207</v>
      </c>
      <c r="C125" s="54">
        <v>66235.8700003624</v>
      </c>
      <c r="D125" s="59">
        <v>2.4514670028150634E-05</v>
      </c>
    </row>
    <row r="126" spans="2:4" ht="15">
      <c r="B126" s="20" t="s">
        <v>208</v>
      </c>
      <c r="C126" s="53">
        <v>326693.24000024796</v>
      </c>
      <c r="D126" s="60">
        <v>0.00012091298837004302</v>
      </c>
    </row>
    <row r="127" spans="2:4" ht="15">
      <c r="B127" s="48" t="s">
        <v>209</v>
      </c>
      <c r="C127" s="54">
        <v>12930.619999885559</v>
      </c>
      <c r="D127" s="59">
        <v>4.785773668480014E-06</v>
      </c>
    </row>
    <row r="128" spans="2:4" ht="15">
      <c r="B128" s="20" t="s">
        <v>210</v>
      </c>
      <c r="C128" s="53">
        <v>35032.14000034332</v>
      </c>
      <c r="D128" s="60">
        <v>1.2965804668734548E-05</v>
      </c>
    </row>
    <row r="129" spans="2:4" ht="15">
      <c r="B129" s="88" t="s">
        <v>211</v>
      </c>
      <c r="C129" s="89">
        <v>0</v>
      </c>
      <c r="D129" s="86">
        <v>0</v>
      </c>
    </row>
    <row r="130" spans="2:4" ht="15">
      <c r="B130" s="20"/>
      <c r="C130" s="53">
        <v>2701887071.0600047</v>
      </c>
      <c r="D130" s="60">
        <v>1</v>
      </c>
    </row>
    <row r="133" spans="2:5" ht="15">
      <c r="B133" s="71" t="s">
        <v>227</v>
      </c>
      <c r="C133" s="20"/>
      <c r="D133" s="73" t="s">
        <v>112</v>
      </c>
      <c r="E133" s="20"/>
    </row>
    <row r="134" spans="2:5" ht="15">
      <c r="B134" s="23"/>
      <c r="C134" s="66" t="s">
        <v>113</v>
      </c>
      <c r="D134" s="74">
        <v>1.1693239073777448</v>
      </c>
      <c r="E134" s="20"/>
    </row>
    <row r="135" spans="2:5" ht="15">
      <c r="B135" s="48" t="s">
        <v>212</v>
      </c>
      <c r="C135" s="54">
        <v>24392153.709999945</v>
      </c>
      <c r="D135" s="59">
        <v>0.009027821322091937</v>
      </c>
      <c r="E135" s="60"/>
    </row>
    <row r="136" spans="2:5" ht="15">
      <c r="B136" s="20" t="s">
        <v>213</v>
      </c>
      <c r="C136" s="53">
        <v>110793828.99000019</v>
      </c>
      <c r="D136" s="60">
        <v>0.04100609169669478</v>
      </c>
      <c r="E136" s="60"/>
    </row>
    <row r="137" spans="2:5" ht="15">
      <c r="B137" s="48" t="s">
        <v>214</v>
      </c>
      <c r="C137" s="54">
        <v>206974987.18999967</v>
      </c>
      <c r="D137" s="59">
        <v>0.07660386305812554</v>
      </c>
      <c r="E137" s="60"/>
    </row>
    <row r="138" spans="2:5" ht="15">
      <c r="B138" s="20" t="s">
        <v>215</v>
      </c>
      <c r="C138" s="53">
        <v>405879626.8999949</v>
      </c>
      <c r="D138" s="60">
        <v>0.15022079614184683</v>
      </c>
      <c r="E138" s="60"/>
    </row>
    <row r="139" spans="2:5" ht="15">
      <c r="B139" s="48" t="s">
        <v>216</v>
      </c>
      <c r="C139" s="54">
        <v>1185368994.7200027</v>
      </c>
      <c r="D139" s="59">
        <v>0.438718926270654</v>
      </c>
      <c r="E139" s="20" t="s">
        <v>217</v>
      </c>
    </row>
    <row r="140" spans="2:5" ht="15">
      <c r="B140" s="20" t="s">
        <v>218</v>
      </c>
      <c r="C140" s="53">
        <v>88244110.88000083</v>
      </c>
      <c r="D140" s="60">
        <v>0.032660177335013946</v>
      </c>
      <c r="E140" s="60"/>
    </row>
    <row r="141" spans="2:5" ht="15">
      <c r="B141" s="48" t="s">
        <v>219</v>
      </c>
      <c r="C141" s="54">
        <v>93764906.87999988</v>
      </c>
      <c r="D141" s="59">
        <v>0.03470348849303106</v>
      </c>
      <c r="E141" s="60"/>
    </row>
    <row r="142" spans="2:5" ht="15">
      <c r="B142" s="20" t="s">
        <v>220</v>
      </c>
      <c r="C142" s="53">
        <v>106003727.4200015</v>
      </c>
      <c r="D142" s="60">
        <v>0.03923321909172708</v>
      </c>
      <c r="E142" s="60"/>
    </row>
    <row r="143" spans="2:5" ht="15">
      <c r="B143" s="48" t="s">
        <v>221</v>
      </c>
      <c r="C143" s="54">
        <v>155200725.08999777</v>
      </c>
      <c r="D143" s="59">
        <v>0.05744160322330201</v>
      </c>
      <c r="E143" s="60"/>
    </row>
    <row r="144" spans="2:5" ht="15">
      <c r="B144" s="20" t="s">
        <v>222</v>
      </c>
      <c r="C144" s="53">
        <v>125128602.26000023</v>
      </c>
      <c r="D144" s="60">
        <v>0.0463115589101621</v>
      </c>
      <c r="E144" s="60"/>
    </row>
    <row r="145" spans="2:5" ht="15">
      <c r="B145" s="48" t="s">
        <v>223</v>
      </c>
      <c r="C145" s="54">
        <v>115579581.45999289</v>
      </c>
      <c r="D145" s="59">
        <v>0.04277735464889328</v>
      </c>
      <c r="E145" s="60"/>
    </row>
    <row r="146" spans="2:5" ht="15">
      <c r="B146" s="20" t="s">
        <v>224</v>
      </c>
      <c r="C146" s="53">
        <v>39170484.810002804</v>
      </c>
      <c r="D146" s="60">
        <v>0.01449745447526628</v>
      </c>
      <c r="E146" s="60"/>
    </row>
    <row r="147" spans="2:5" ht="15">
      <c r="B147" s="48" t="s">
        <v>225</v>
      </c>
      <c r="C147" s="54">
        <v>9013224.030000687</v>
      </c>
      <c r="D147" s="59">
        <v>0.0033358996112537944</v>
      </c>
      <c r="E147" s="60"/>
    </row>
    <row r="148" spans="2:5" ht="15">
      <c r="B148" s="68" t="s">
        <v>226</v>
      </c>
      <c r="C148" s="75">
        <v>36372116.71999979</v>
      </c>
      <c r="D148" s="69">
        <v>0.01346174572193738</v>
      </c>
      <c r="E148" s="60"/>
    </row>
    <row r="149" spans="2:5" ht="15">
      <c r="B149" s="20"/>
      <c r="C149" s="53">
        <v>2701887071.0599937</v>
      </c>
      <c r="D149" s="70">
        <v>1.0000000000000002</v>
      </c>
      <c r="E149" s="60"/>
    </row>
    <row r="152" spans="2:4" ht="15">
      <c r="B152" s="71" t="s">
        <v>228</v>
      </c>
      <c r="C152" s="53"/>
      <c r="D152" s="20"/>
    </row>
    <row r="153" spans="2:4" ht="15">
      <c r="B153" s="72" t="s">
        <v>229</v>
      </c>
      <c r="C153" s="79" t="s">
        <v>113</v>
      </c>
      <c r="D153" s="23"/>
    </row>
    <row r="154" spans="2:4" ht="15">
      <c r="B154" s="48" t="s">
        <v>34</v>
      </c>
      <c r="C154" s="54">
        <v>2286032202.439995</v>
      </c>
      <c r="D154" s="59">
        <v>0.8460872502503026</v>
      </c>
    </row>
    <row r="155" spans="2:4" ht="15">
      <c r="B155" s="76" t="s">
        <v>230</v>
      </c>
      <c r="C155" s="53">
        <v>27231061.06999995</v>
      </c>
      <c r="D155" s="60">
        <v>0.010078534133299937</v>
      </c>
    </row>
    <row r="156" spans="2:4" ht="15">
      <c r="B156" s="90" t="s">
        <v>231</v>
      </c>
      <c r="C156" s="54">
        <v>18478045.34999999</v>
      </c>
      <c r="D156" s="59">
        <v>0.00683894066036992</v>
      </c>
    </row>
    <row r="157" spans="2:4" ht="15">
      <c r="B157" s="77" t="s">
        <v>232</v>
      </c>
      <c r="C157" s="53">
        <v>191506091.07000002</v>
      </c>
      <c r="D157" s="60">
        <v>0.07087864371580453</v>
      </c>
    </row>
    <row r="158" spans="2:4" ht="15">
      <c r="B158" s="90" t="s">
        <v>233</v>
      </c>
      <c r="C158" s="54">
        <v>153819048.7599997</v>
      </c>
      <c r="D158" s="59">
        <v>0.05693022865668992</v>
      </c>
    </row>
    <row r="159" spans="2:4" ht="15">
      <c r="B159" s="77" t="s">
        <v>234</v>
      </c>
      <c r="C159" s="53">
        <v>20344375.179999996</v>
      </c>
      <c r="D159" s="60">
        <v>0.0075296911547152725</v>
      </c>
    </row>
    <row r="160" spans="2:4" ht="15">
      <c r="B160" s="90" t="s">
        <v>235</v>
      </c>
      <c r="C160" s="54">
        <v>4476247.1899999995</v>
      </c>
      <c r="D160" s="59">
        <v>0.0016567114288177462</v>
      </c>
    </row>
    <row r="161" spans="2:4" ht="15">
      <c r="B161" s="78" t="s">
        <v>236</v>
      </c>
      <c r="C161" s="53">
        <v>0</v>
      </c>
      <c r="D161" s="60">
        <v>0</v>
      </c>
    </row>
    <row r="162" spans="2:4" ht="15">
      <c r="B162" s="84" t="s">
        <v>237</v>
      </c>
      <c r="C162" s="89">
        <v>0</v>
      </c>
      <c r="D162" s="86">
        <v>0</v>
      </c>
    </row>
    <row r="163" spans="2:4" ht="15">
      <c r="B163" s="20"/>
      <c r="C163" s="53">
        <v>2701887071.0599947</v>
      </c>
      <c r="D163" s="70">
        <v>1</v>
      </c>
    </row>
    <row r="164" spans="2:4" ht="15">
      <c r="B164" s="20"/>
      <c r="C164" s="53"/>
      <c r="D164" s="20"/>
    </row>
    <row r="166" spans="2:4" ht="15">
      <c r="B166" s="71" t="s">
        <v>238</v>
      </c>
      <c r="C166" s="20"/>
      <c r="D166" s="73" t="s">
        <v>112</v>
      </c>
    </row>
    <row r="167" spans="2:4" ht="15">
      <c r="B167" s="72" t="s">
        <v>132</v>
      </c>
      <c r="C167" s="66" t="s">
        <v>113</v>
      </c>
      <c r="D167" s="112">
        <v>32.06914763748688</v>
      </c>
    </row>
    <row r="168" spans="2:4" ht="15">
      <c r="B168" s="48" t="s">
        <v>239</v>
      </c>
      <c r="C168" s="54">
        <v>503453780.2199993</v>
      </c>
      <c r="D168" s="59">
        <v>0.18633413128642873</v>
      </c>
    </row>
    <row r="169" spans="2:4" ht="15">
      <c r="B169" s="20" t="s">
        <v>240</v>
      </c>
      <c r="C169" s="53">
        <v>1044606439.1400056</v>
      </c>
      <c r="D169" s="60">
        <v>0.38662105841832445</v>
      </c>
    </row>
    <row r="170" spans="2:4" ht="15">
      <c r="B170" s="48" t="s">
        <v>241</v>
      </c>
      <c r="C170" s="54">
        <v>466301677.2599869</v>
      </c>
      <c r="D170" s="59">
        <v>0.17258370353615385</v>
      </c>
    </row>
    <row r="171" spans="2:4" ht="15">
      <c r="B171" s="20" t="s">
        <v>242</v>
      </c>
      <c r="C171" s="53">
        <v>208850261.97999334</v>
      </c>
      <c r="D171" s="60">
        <v>0.07729792418676373</v>
      </c>
    </row>
    <row r="172" spans="2:4" ht="15">
      <c r="B172" s="48" t="s">
        <v>243</v>
      </c>
      <c r="C172" s="54">
        <v>88287909.14000416</v>
      </c>
      <c r="D172" s="59">
        <v>0.03267638758320385</v>
      </c>
    </row>
    <row r="173" spans="2:4" ht="15">
      <c r="B173" s="20" t="s">
        <v>244</v>
      </c>
      <c r="C173" s="53">
        <v>86309395.40000343</v>
      </c>
      <c r="D173" s="60">
        <v>0.03194411651192458</v>
      </c>
    </row>
    <row r="174" spans="2:4" ht="15">
      <c r="B174" s="48" t="s">
        <v>245</v>
      </c>
      <c r="C174" s="54">
        <v>95098224.1399951</v>
      </c>
      <c r="D174" s="59">
        <v>0.035196964802339484</v>
      </c>
    </row>
    <row r="175" spans="2:4" ht="15">
      <c r="B175" s="20" t="s">
        <v>246</v>
      </c>
      <c r="C175" s="53">
        <v>92674520.32000971</v>
      </c>
      <c r="D175" s="60">
        <v>0.0342999236765479</v>
      </c>
    </row>
    <row r="176" spans="2:4" ht="15">
      <c r="B176" s="48" t="s">
        <v>247</v>
      </c>
      <c r="C176" s="54">
        <v>29995214.810004234</v>
      </c>
      <c r="D176" s="59">
        <v>0.011101579755602631</v>
      </c>
    </row>
    <row r="177" spans="2:4" ht="15">
      <c r="B177" s="20" t="s">
        <v>248</v>
      </c>
      <c r="C177" s="53">
        <v>18624684.78000307</v>
      </c>
      <c r="D177" s="60">
        <v>0.006893213628168491</v>
      </c>
    </row>
    <row r="178" spans="2:4" ht="15">
      <c r="B178" s="48" t="s">
        <v>249</v>
      </c>
      <c r="C178" s="54">
        <v>13870110.150003433</v>
      </c>
      <c r="D178" s="59">
        <v>0.005133489959135084</v>
      </c>
    </row>
    <row r="179" spans="2:4" ht="15">
      <c r="B179" s="20" t="s">
        <v>250</v>
      </c>
      <c r="C179" s="53">
        <v>9909231.009997845</v>
      </c>
      <c r="D179" s="60">
        <v>0.0036675222721689305</v>
      </c>
    </row>
    <row r="180" spans="2:4" ht="15">
      <c r="B180" s="48" t="s">
        <v>251</v>
      </c>
      <c r="C180" s="54">
        <v>6079676.379998207</v>
      </c>
      <c r="D180" s="59">
        <v>0.0022501593220226736</v>
      </c>
    </row>
    <row r="181" spans="2:4" ht="15">
      <c r="B181" s="20" t="s">
        <v>252</v>
      </c>
      <c r="C181" s="53">
        <v>13305393.710003853</v>
      </c>
      <c r="D181" s="60">
        <v>0.00492448180107834</v>
      </c>
    </row>
    <row r="182" spans="2:4" ht="15">
      <c r="B182" s="48" t="s">
        <v>253</v>
      </c>
      <c r="C182" s="54">
        <v>7888566.149998188</v>
      </c>
      <c r="D182" s="59">
        <v>0.0029196505784763777</v>
      </c>
    </row>
    <row r="183" spans="2:4" ht="15">
      <c r="B183" s="20" t="s">
        <v>254</v>
      </c>
      <c r="C183" s="53">
        <v>8266787.469997883</v>
      </c>
      <c r="D183" s="60">
        <v>0.003059634711807054</v>
      </c>
    </row>
    <row r="184" spans="2:4" ht="15">
      <c r="B184" s="48" t="s">
        <v>255</v>
      </c>
      <c r="C184" s="54">
        <v>5879654.93999958</v>
      </c>
      <c r="D184" s="59">
        <v>0.0021761290480926255</v>
      </c>
    </row>
    <row r="185" spans="2:4" ht="15">
      <c r="B185" s="23" t="s">
        <v>256</v>
      </c>
      <c r="C185" s="75">
        <v>2485544.0600008965</v>
      </c>
      <c r="D185" s="69">
        <v>0.0009199289217612516</v>
      </c>
    </row>
    <row r="186" spans="2:4" ht="15">
      <c r="B186" s="20"/>
      <c r="C186" s="53">
        <v>2701887071.0600047</v>
      </c>
      <c r="D186" s="70">
        <v>0.9999999999999999</v>
      </c>
    </row>
    <row r="187" spans="2:4" ht="15">
      <c r="B187" s="20"/>
      <c r="C187" s="20"/>
      <c r="D187" s="20"/>
    </row>
    <row r="188" spans="2:4" ht="15">
      <c r="B188" s="20"/>
      <c r="C188" s="20"/>
      <c r="D188" s="20"/>
    </row>
    <row r="189" spans="2:4" ht="30" customHeight="1">
      <c r="B189" s="138" t="s">
        <v>404</v>
      </c>
      <c r="C189" s="138"/>
      <c r="D189" s="113" t="s">
        <v>112</v>
      </c>
    </row>
    <row r="190" spans="2:4" ht="15">
      <c r="B190" s="72" t="s">
        <v>173</v>
      </c>
      <c r="C190" s="66" t="s">
        <v>113</v>
      </c>
      <c r="D190" s="112">
        <v>10.445733050402115</v>
      </c>
    </row>
    <row r="191" spans="2:4" ht="15">
      <c r="B191" s="91" t="s">
        <v>257</v>
      </c>
      <c r="C191" s="54">
        <v>18395042.850000013</v>
      </c>
      <c r="D191" s="59">
        <v>0.006808220464515294</v>
      </c>
    </row>
    <row r="192" spans="2:4" ht="15">
      <c r="B192" s="80" t="s">
        <v>258</v>
      </c>
      <c r="C192" s="53">
        <v>32265750.739999834</v>
      </c>
      <c r="D192" s="60">
        <v>0.01194193165421282</v>
      </c>
    </row>
    <row r="193" spans="2:4" ht="15">
      <c r="B193" s="91" t="s">
        <v>259</v>
      </c>
      <c r="C193" s="54">
        <v>45763992.309999876</v>
      </c>
      <c r="D193" s="59">
        <v>0.016937788703376762</v>
      </c>
    </row>
    <row r="194" spans="2:4" ht="15">
      <c r="B194" s="80" t="s">
        <v>260</v>
      </c>
      <c r="C194" s="53">
        <v>93318575.12000118</v>
      </c>
      <c r="D194" s="60">
        <v>0.03453829588939497</v>
      </c>
    </row>
    <row r="195" spans="2:4" ht="15">
      <c r="B195" s="91" t="s">
        <v>261</v>
      </c>
      <c r="C195" s="54">
        <v>265197681.4699963</v>
      </c>
      <c r="D195" s="59">
        <v>0.0981527630486621</v>
      </c>
    </row>
    <row r="196" spans="2:4" ht="15">
      <c r="B196" s="80" t="s">
        <v>262</v>
      </c>
      <c r="C196" s="53">
        <v>86311664.6500004</v>
      </c>
      <c r="D196" s="60">
        <v>0.03194495638788433</v>
      </c>
    </row>
    <row r="197" spans="2:4" ht="15">
      <c r="B197" s="91" t="s">
        <v>263</v>
      </c>
      <c r="C197" s="54">
        <v>133293745.63999736</v>
      </c>
      <c r="D197" s="59">
        <v>0.0493335739556663</v>
      </c>
    </row>
    <row r="198" spans="2:4" ht="15">
      <c r="B198" s="80" t="s">
        <v>264</v>
      </c>
      <c r="C198" s="53">
        <v>244243738.9099983</v>
      </c>
      <c r="D198" s="60">
        <v>0.0903974638785242</v>
      </c>
    </row>
    <row r="199" spans="2:4" ht="15">
      <c r="B199" s="91" t="s">
        <v>265</v>
      </c>
      <c r="C199" s="54">
        <v>107485083.3900001</v>
      </c>
      <c r="D199" s="59">
        <v>0.03978148625872492</v>
      </c>
    </row>
    <row r="200" spans="2:4" ht="15">
      <c r="B200" s="80" t="s">
        <v>266</v>
      </c>
      <c r="C200" s="53">
        <v>169445197.0799986</v>
      </c>
      <c r="D200" s="60">
        <v>0.06271364887708718</v>
      </c>
    </row>
    <row r="201" spans="2:4" ht="15">
      <c r="B201" s="91" t="s">
        <v>267</v>
      </c>
      <c r="C201" s="54">
        <v>384173817.72000504</v>
      </c>
      <c r="D201" s="59">
        <v>0.14218722234356224</v>
      </c>
    </row>
    <row r="202" spans="2:4" ht="15">
      <c r="B202" s="80" t="s">
        <v>268</v>
      </c>
      <c r="C202" s="53">
        <v>81642107.15000224</v>
      </c>
      <c r="D202" s="60">
        <v>0.030216698552827524</v>
      </c>
    </row>
    <row r="203" spans="2:4" ht="15">
      <c r="B203" s="91" t="s">
        <v>269</v>
      </c>
      <c r="C203" s="54">
        <v>96372597.57000065</v>
      </c>
      <c r="D203" s="59">
        <v>0.03566862531089863</v>
      </c>
    </row>
    <row r="204" spans="2:4" ht="15">
      <c r="B204" s="80" t="s">
        <v>270</v>
      </c>
      <c r="C204" s="53">
        <v>311935458.79999876</v>
      </c>
      <c r="D204" s="60">
        <v>0.11545096097507147</v>
      </c>
    </row>
    <row r="205" spans="2:4" ht="15">
      <c r="B205" s="91" t="s">
        <v>271</v>
      </c>
      <c r="C205" s="54">
        <v>154947241.43999147</v>
      </c>
      <c r="D205" s="59">
        <v>0.05734778596027796</v>
      </c>
    </row>
    <row r="206" spans="2:4" ht="15">
      <c r="B206" s="80" t="s">
        <v>272</v>
      </c>
      <c r="C206" s="53">
        <v>75145450.55000257</v>
      </c>
      <c r="D206" s="60">
        <v>0.02781220997534938</v>
      </c>
    </row>
    <row r="207" spans="2:4" ht="15">
      <c r="B207" s="91" t="s">
        <v>273</v>
      </c>
      <c r="C207" s="54">
        <v>81849975.51999807</v>
      </c>
      <c r="D207" s="59">
        <v>0.03029363306730902</v>
      </c>
    </row>
    <row r="208" spans="2:4" ht="15">
      <c r="B208" s="80" t="s">
        <v>274</v>
      </c>
      <c r="C208" s="53">
        <v>300256079.6300154</v>
      </c>
      <c r="D208" s="60">
        <v>0.11112828616934714</v>
      </c>
    </row>
    <row r="209" spans="2:4" ht="15">
      <c r="B209" s="91" t="s">
        <v>275</v>
      </c>
      <c r="C209" s="54">
        <v>6996279.029998779</v>
      </c>
      <c r="D209" s="59">
        <v>0.0025894046812452447</v>
      </c>
    </row>
    <row r="210" spans="2:4" ht="15">
      <c r="B210" s="80" t="s">
        <v>276</v>
      </c>
      <c r="C210" s="53">
        <v>12043221.489998817</v>
      </c>
      <c r="D210" s="60">
        <v>0.004457337103017418</v>
      </c>
    </row>
    <row r="211" spans="2:4" ht="15">
      <c r="B211" s="91" t="s">
        <v>277</v>
      </c>
      <c r="C211" s="54">
        <v>0</v>
      </c>
      <c r="D211" s="59">
        <v>0</v>
      </c>
    </row>
    <row r="212" spans="2:4" ht="15">
      <c r="B212" s="80" t="s">
        <v>278</v>
      </c>
      <c r="C212" s="53">
        <v>0</v>
      </c>
      <c r="D212" s="60">
        <v>0</v>
      </c>
    </row>
    <row r="213" spans="2:4" ht="15">
      <c r="B213" s="91" t="s">
        <v>279</v>
      </c>
      <c r="C213" s="54">
        <v>537500.0000004768</v>
      </c>
      <c r="D213" s="59">
        <v>0.00019893503535275617</v>
      </c>
    </row>
    <row r="214" spans="2:4" ht="15">
      <c r="B214" s="80" t="s">
        <v>280</v>
      </c>
      <c r="C214" s="53">
        <v>30000.000000476837</v>
      </c>
      <c r="D214" s="60">
        <v>1.1103350810553023E-05</v>
      </c>
    </row>
    <row r="215" spans="2:4" ht="15">
      <c r="B215" s="91" t="s">
        <v>281</v>
      </c>
      <c r="C215" s="54">
        <v>75000</v>
      </c>
      <c r="D215" s="59">
        <v>2.7758377025941352E-05</v>
      </c>
    </row>
    <row r="216" spans="2:4" ht="15">
      <c r="B216" s="81" t="s">
        <v>282</v>
      </c>
      <c r="C216" s="75">
        <v>161870</v>
      </c>
      <c r="D216" s="69">
        <v>5.9909979855855016E-05</v>
      </c>
    </row>
    <row r="217" spans="2:4" ht="15">
      <c r="B217" s="20"/>
      <c r="C217" s="53">
        <v>2701887071.0600047</v>
      </c>
      <c r="D217" s="70">
        <v>1.0000000000000002</v>
      </c>
    </row>
    <row r="218" spans="2:4" ht="15">
      <c r="B218" s="20"/>
      <c r="C218" s="20"/>
      <c r="D218" s="20"/>
    </row>
    <row r="219" spans="2:4" ht="15">
      <c r="B219" s="20"/>
      <c r="C219" s="20"/>
      <c r="D219" s="20"/>
    </row>
    <row r="220" spans="2:4" ht="30" customHeight="1">
      <c r="B220" s="138" t="s">
        <v>405</v>
      </c>
      <c r="C220" s="138"/>
      <c r="D220" s="113" t="s">
        <v>112</v>
      </c>
    </row>
    <row r="221" spans="2:4" ht="15">
      <c r="B221" s="72" t="s">
        <v>173</v>
      </c>
      <c r="C221" s="66" t="s">
        <v>113</v>
      </c>
      <c r="D221" s="112">
        <v>9.174347454566538</v>
      </c>
    </row>
    <row r="222" spans="2:4" ht="15">
      <c r="B222" s="91" t="s">
        <v>257</v>
      </c>
      <c r="C222" s="54">
        <v>296928784.29000056</v>
      </c>
      <c r="D222" s="59">
        <v>0.10989681525568329</v>
      </c>
    </row>
    <row r="223" spans="2:4" ht="15">
      <c r="B223" s="80" t="s">
        <v>258</v>
      </c>
      <c r="C223" s="53">
        <v>71136968.90000051</v>
      </c>
      <c r="D223" s="60">
        <v>0.026328624042785048</v>
      </c>
    </row>
    <row r="224" spans="2:4" ht="15">
      <c r="B224" s="91" t="s">
        <v>259</v>
      </c>
      <c r="C224" s="54">
        <v>86208967.73999965</v>
      </c>
      <c r="D224" s="59">
        <v>0.03190694706058834</v>
      </c>
    </row>
    <row r="225" spans="2:4" ht="15">
      <c r="B225" s="80" t="s">
        <v>260</v>
      </c>
      <c r="C225" s="53">
        <v>76893230.28000051</v>
      </c>
      <c r="D225" s="60">
        <v>0.02845908369139712</v>
      </c>
    </row>
    <row r="226" spans="2:4" ht="15">
      <c r="B226" s="91" t="s">
        <v>261</v>
      </c>
      <c r="C226" s="54">
        <v>248965119.0999931</v>
      </c>
      <c r="D226" s="59">
        <v>0.09214490189714668</v>
      </c>
    </row>
    <row r="227" spans="2:4" ht="15">
      <c r="B227" s="80" t="s">
        <v>262</v>
      </c>
      <c r="C227" s="53">
        <v>67047840.81000018</v>
      </c>
      <c r="D227" s="60">
        <v>0.02481518991972376</v>
      </c>
    </row>
    <row r="228" spans="2:4" ht="15">
      <c r="B228" s="91" t="s">
        <v>263</v>
      </c>
      <c r="C228" s="54">
        <v>91554835.27999926</v>
      </c>
      <c r="D228" s="59">
        <v>0.03388551515000235</v>
      </c>
    </row>
    <row r="229" spans="2:4" ht="15">
      <c r="B229" s="80" t="s">
        <v>264</v>
      </c>
      <c r="C229" s="53">
        <v>227716604.14999974</v>
      </c>
      <c r="D229" s="60">
        <v>0.08428057804083644</v>
      </c>
    </row>
    <row r="230" spans="2:4" ht="15">
      <c r="B230" s="91" t="s">
        <v>265</v>
      </c>
      <c r="C230" s="54">
        <v>94579052.8699975</v>
      </c>
      <c r="D230" s="59">
        <v>0.03500481344429108</v>
      </c>
    </row>
    <row r="231" spans="2:4" ht="15">
      <c r="B231" s="80" t="s">
        <v>266</v>
      </c>
      <c r="C231" s="53">
        <v>118523283.32000566</v>
      </c>
      <c r="D231" s="60">
        <v>0.0438668531299891</v>
      </c>
    </row>
    <row r="232" spans="2:4" ht="15">
      <c r="B232" s="91" t="s">
        <v>267</v>
      </c>
      <c r="C232" s="54">
        <v>355868887.34999967</v>
      </c>
      <c r="D232" s="59">
        <v>0.1317112366248472</v>
      </c>
    </row>
    <row r="233" spans="2:4" ht="15">
      <c r="B233" s="80" t="s">
        <v>268</v>
      </c>
      <c r="C233" s="53">
        <v>74826686.43999791</v>
      </c>
      <c r="D233" s="60">
        <v>0.0276942316507114</v>
      </c>
    </row>
    <row r="234" spans="2:4" ht="15">
      <c r="B234" s="91" t="s">
        <v>269</v>
      </c>
      <c r="C234" s="54">
        <v>64371411.39000058</v>
      </c>
      <c r="D234" s="59">
        <v>0.02382461209407482</v>
      </c>
    </row>
    <row r="235" spans="2:4" ht="15">
      <c r="B235" s="80" t="s">
        <v>270</v>
      </c>
      <c r="C235" s="53">
        <v>250382956.10000086</v>
      </c>
      <c r="D235" s="60">
        <v>0.0926696599505806</v>
      </c>
    </row>
    <row r="236" spans="2:4" ht="15">
      <c r="B236" s="91" t="s">
        <v>271</v>
      </c>
      <c r="C236" s="54">
        <v>143618420.30000162</v>
      </c>
      <c r="D236" s="59">
        <v>0.05315485678076739</v>
      </c>
    </row>
    <row r="237" spans="2:4" ht="15">
      <c r="B237" s="80" t="s">
        <v>272</v>
      </c>
      <c r="C237" s="53">
        <v>70376119.49999619</v>
      </c>
      <c r="D237" s="60">
        <v>0.026047024782714628</v>
      </c>
    </row>
    <row r="238" spans="2:4" ht="15">
      <c r="B238" s="91" t="s">
        <v>273</v>
      </c>
      <c r="C238" s="54">
        <v>65907192.639994144</v>
      </c>
      <c r="D238" s="59">
        <v>0.024393022693630723</v>
      </c>
    </row>
    <row r="239" spans="2:4" ht="15">
      <c r="B239" s="80" t="s">
        <v>274</v>
      </c>
      <c r="C239" s="53">
        <v>278860186.0100179</v>
      </c>
      <c r="D239" s="60">
        <v>0.10320941574386949</v>
      </c>
    </row>
    <row r="240" spans="2:4" ht="15">
      <c r="B240" s="91" t="s">
        <v>275</v>
      </c>
      <c r="C240" s="54">
        <v>5422933.099999428</v>
      </c>
      <c r="D240" s="59">
        <v>0.0020070909543498804</v>
      </c>
    </row>
    <row r="241" spans="2:4" ht="15">
      <c r="B241" s="80" t="s">
        <v>276</v>
      </c>
      <c r="C241" s="53">
        <v>12043221.489998817</v>
      </c>
      <c r="D241" s="60">
        <v>0.004457337103017418</v>
      </c>
    </row>
    <row r="242" spans="2:4" ht="15">
      <c r="B242" s="91" t="s">
        <v>277</v>
      </c>
      <c r="C242" s="54">
        <v>0</v>
      </c>
      <c r="D242" s="59">
        <v>0</v>
      </c>
    </row>
    <row r="243" spans="2:4" ht="15">
      <c r="B243" s="80" t="s">
        <v>278</v>
      </c>
      <c r="C243" s="53">
        <v>0</v>
      </c>
      <c r="D243" s="60">
        <v>0</v>
      </c>
    </row>
    <row r="244" spans="2:4" ht="15">
      <c r="B244" s="91" t="s">
        <v>279</v>
      </c>
      <c r="C244" s="54">
        <v>387500.00000047684</v>
      </c>
      <c r="D244" s="59">
        <v>0.00014341828130087347</v>
      </c>
    </row>
    <row r="245" spans="2:4" ht="15">
      <c r="B245" s="80" t="s">
        <v>280</v>
      </c>
      <c r="C245" s="53">
        <v>30000.000000476837</v>
      </c>
      <c r="D245" s="60">
        <v>1.1103350810553023E-05</v>
      </c>
    </row>
    <row r="246" spans="2:4" ht="15">
      <c r="B246" s="91" t="s">
        <v>281</v>
      </c>
      <c r="C246" s="54">
        <v>75000</v>
      </c>
      <c r="D246" s="59">
        <v>2.7758377025941352E-05</v>
      </c>
    </row>
    <row r="247" spans="2:4" ht="15">
      <c r="B247" s="81" t="s">
        <v>282</v>
      </c>
      <c r="C247" s="75">
        <v>161870</v>
      </c>
      <c r="D247" s="69">
        <v>5.9909979855855016E-05</v>
      </c>
    </row>
    <row r="248" spans="2:4" ht="15">
      <c r="B248" s="20"/>
      <c r="C248" s="53">
        <v>2701887071.0600047</v>
      </c>
      <c r="D248" s="70">
        <v>0.9999999999999999</v>
      </c>
    </row>
    <row r="251" spans="2:4" ht="15">
      <c r="B251" s="71" t="s">
        <v>283</v>
      </c>
      <c r="C251" s="20"/>
      <c r="D251" s="20"/>
    </row>
    <row r="252" spans="2:4" ht="15">
      <c r="B252" s="72" t="s">
        <v>284</v>
      </c>
      <c r="C252" s="66" t="s">
        <v>113</v>
      </c>
      <c r="D252" s="23"/>
    </row>
    <row r="253" spans="2:4" ht="15">
      <c r="B253" s="48" t="s">
        <v>285</v>
      </c>
      <c r="C253" s="54">
        <v>247681022.24458143</v>
      </c>
      <c r="D253" s="59">
        <v>0.09166964263514228</v>
      </c>
    </row>
    <row r="254" spans="2:4" ht="15">
      <c r="B254" s="20" t="s">
        <v>286</v>
      </c>
      <c r="C254" s="53">
        <v>141027033.77854583</v>
      </c>
      <c r="D254" s="60">
        <v>0.052195754326333985</v>
      </c>
    </row>
    <row r="255" spans="2:4" ht="15">
      <c r="B255" s="48" t="s">
        <v>287</v>
      </c>
      <c r="C255" s="54">
        <v>314341357.6037491</v>
      </c>
      <c r="D255" s="59">
        <v>0.11634141225614854</v>
      </c>
    </row>
    <row r="256" spans="2:4" ht="15">
      <c r="B256" s="20" t="s">
        <v>288</v>
      </c>
      <c r="C256" s="53">
        <v>147430853.71606687</v>
      </c>
      <c r="D256" s="60">
        <v>0.054565882969426646</v>
      </c>
    </row>
    <row r="257" spans="2:4" ht="15">
      <c r="B257" s="48" t="s">
        <v>289</v>
      </c>
      <c r="C257" s="54">
        <v>63004816.24967957</v>
      </c>
      <c r="D257" s="59">
        <v>0.02331881925211687</v>
      </c>
    </row>
    <row r="258" spans="2:4" ht="15">
      <c r="B258" s="20" t="s">
        <v>290</v>
      </c>
      <c r="C258" s="53">
        <v>362145555.50420344</v>
      </c>
      <c r="D258" s="60">
        <v>0.13403430490606225</v>
      </c>
    </row>
    <row r="259" spans="2:4" ht="15">
      <c r="B259" s="48" t="s">
        <v>291</v>
      </c>
      <c r="C259" s="54">
        <v>275255013.82841355</v>
      </c>
      <c r="D259" s="59">
        <v>0.1018750993617309</v>
      </c>
    </row>
    <row r="260" spans="2:4" ht="15">
      <c r="B260" s="20" t="s">
        <v>292</v>
      </c>
      <c r="C260" s="53">
        <v>377154498.5046108</v>
      </c>
      <c r="D260" s="60">
        <v>0.13958929022027786</v>
      </c>
    </row>
    <row r="261" spans="2:4" ht="15">
      <c r="B261" s="48" t="s">
        <v>293</v>
      </c>
      <c r="C261" s="54">
        <v>181926141.93807012</v>
      </c>
      <c r="D261" s="59">
        <v>0.06733299251722508</v>
      </c>
    </row>
    <row r="262" spans="2:4" ht="15">
      <c r="B262" s="20" t="s">
        <v>294</v>
      </c>
      <c r="C262" s="53">
        <v>267716814.89299017</v>
      </c>
      <c r="D262" s="60">
        <v>0.09908512378645049</v>
      </c>
    </row>
    <row r="263" spans="2:4" ht="15">
      <c r="B263" s="48" t="s">
        <v>295</v>
      </c>
      <c r="C263" s="54">
        <v>318051271.8116522</v>
      </c>
      <c r="D263" s="59">
        <v>0.11771449488704015</v>
      </c>
    </row>
    <row r="264" spans="2:4" ht="15">
      <c r="B264" s="23" t="s">
        <v>296</v>
      </c>
      <c r="C264" s="75">
        <v>6152690.987436872</v>
      </c>
      <c r="D264" s="69">
        <v>0.0022771828820451253</v>
      </c>
    </row>
    <row r="265" spans="2:4" ht="15">
      <c r="B265" s="20"/>
      <c r="C265" s="53">
        <v>2701887071.0599995</v>
      </c>
      <c r="D265" s="70">
        <v>1.0000000000000002</v>
      </c>
    </row>
    <row r="268" spans="2:4" ht="15">
      <c r="B268" s="71" t="s">
        <v>297</v>
      </c>
      <c r="C268" s="20"/>
      <c r="D268" s="20"/>
    </row>
    <row r="269" spans="2:4" ht="15">
      <c r="B269" s="72" t="s">
        <v>229</v>
      </c>
      <c r="C269" s="58" t="s">
        <v>113</v>
      </c>
      <c r="D269" s="23"/>
    </row>
    <row r="270" spans="2:4" ht="15">
      <c r="B270" s="48" t="s">
        <v>298</v>
      </c>
      <c r="C270" s="54">
        <v>2445519521.38999</v>
      </c>
      <c r="D270" s="59">
        <v>0.9051153719872447</v>
      </c>
    </row>
    <row r="271" spans="2:4" ht="15">
      <c r="B271" s="20" t="s">
        <v>299</v>
      </c>
      <c r="C271" s="53">
        <v>61780290.97999993</v>
      </c>
      <c r="D271" s="60">
        <v>0.022865608130602816</v>
      </c>
    </row>
    <row r="272" spans="2:4" ht="15">
      <c r="B272" s="48" t="s">
        <v>300</v>
      </c>
      <c r="C272" s="54">
        <v>115437478.31999996</v>
      </c>
      <c r="D272" s="59">
        <v>0.04272476061507343</v>
      </c>
    </row>
    <row r="273" spans="2:4" ht="15">
      <c r="B273" s="23" t="s">
        <v>301</v>
      </c>
      <c r="C273" s="75">
        <v>79149780.36999999</v>
      </c>
      <c r="D273" s="69">
        <v>0.02929425926707898</v>
      </c>
    </row>
    <row r="274" spans="2:4" ht="15">
      <c r="B274" s="20"/>
      <c r="C274" s="53">
        <v>2701887071.05999</v>
      </c>
      <c r="D274" s="70">
        <v>0.9999999999999999</v>
      </c>
    </row>
  </sheetData>
  <sheetProtection/>
  <mergeCells count="2">
    <mergeCell ref="B220:C220"/>
    <mergeCell ref="B189:C189"/>
  </mergeCells>
  <printOptions/>
  <pageMargins left="0.7086614173228347" right="0.7086614173228347" top="0.7480314960629921" bottom="0.7480314960629921" header="0.31496062992125984" footer="0.31496062992125984"/>
  <pageSetup horizontalDpi="600" verticalDpi="600" orientation="portrait" paperSize="9" scale="83" r:id="rId1"/>
  <headerFooter>
    <oddFooter>&amp;LBelfius Mortgage Pandbrieven Programme - Investor Report&amp;R&amp;P</oddFooter>
  </headerFooter>
  <rowBreaks count="5" manualBreakCount="5">
    <brk id="39" min="1" max="5" man="1"/>
    <brk id="86" min="1" max="5" man="1"/>
    <brk id="132" min="1" max="5" man="1"/>
    <brk id="188" min="1" max="5" man="1"/>
    <brk id="248" min="1" max="5" man="1"/>
  </rowBreaks>
</worksheet>
</file>

<file path=xl/worksheets/sheet7.xml><?xml version="1.0" encoding="utf-8"?>
<worksheet xmlns="http://schemas.openxmlformats.org/spreadsheetml/2006/main" xmlns:r="http://schemas.openxmlformats.org/officeDocument/2006/relationships">
  <sheetPr>
    <pageSetUpPr fitToPage="1"/>
  </sheetPr>
  <dimension ref="B1:AH74"/>
  <sheetViews>
    <sheetView zoomScalePageLayoutView="0" workbookViewId="0" topLeftCell="A1">
      <selection activeCell="K10" sqref="K10"/>
    </sheetView>
  </sheetViews>
  <sheetFormatPr defaultColWidth="9.140625" defaultRowHeight="15"/>
  <cols>
    <col min="1" max="1" width="4.57421875" style="12" customWidth="1"/>
    <col min="2" max="2" width="3.421875" style="12" customWidth="1"/>
    <col min="3" max="3" width="3.57421875" style="20" customWidth="1"/>
    <col min="4" max="4" width="18.28125" style="12" customWidth="1"/>
    <col min="5" max="8" width="17.8515625" style="12" customWidth="1"/>
    <col min="9" max="9" width="3.00390625" style="12" customWidth="1"/>
    <col min="10" max="29" width="9.140625" style="12" customWidth="1"/>
    <col min="30" max="30" width="10.7109375" style="12" bestFit="1" customWidth="1"/>
    <col min="31" max="32" width="9.140625" style="12" customWidth="1"/>
    <col min="33" max="33" width="11.140625" style="12" customWidth="1"/>
    <col min="34" max="34" width="9.7109375" style="12" customWidth="1"/>
    <col min="35" max="16384" width="9.140625" style="12" customWidth="1"/>
  </cols>
  <sheetData>
    <row r="1" ht="15">
      <c r="C1" s="12"/>
    </row>
    <row r="2" spans="2:3" ht="18.75">
      <c r="B2" s="17" t="s">
        <v>360</v>
      </c>
      <c r="C2" s="17"/>
    </row>
    <row r="3" spans="3:34" ht="9" customHeight="1">
      <c r="C3" s="12"/>
      <c r="AD3" s="12" t="s">
        <v>377</v>
      </c>
      <c r="AF3" s="55" t="s">
        <v>378</v>
      </c>
      <c r="AG3" s="55" t="s">
        <v>379</v>
      </c>
      <c r="AH3" s="55" t="s">
        <v>381</v>
      </c>
    </row>
    <row r="4" spans="2:34" ht="15">
      <c r="B4" s="12" t="s">
        <v>104</v>
      </c>
      <c r="C4" s="12"/>
      <c r="H4" s="64">
        <v>41274</v>
      </c>
      <c r="AD4" s="64">
        <v>41243</v>
      </c>
      <c r="AF4" s="131">
        <f>(17914.32+8204.1)/2707657146.57</f>
        <v>9.64613264758658E-06</v>
      </c>
      <c r="AG4" s="131">
        <v>0</v>
      </c>
      <c r="AH4" s="132">
        <v>0</v>
      </c>
    </row>
    <row r="5" spans="3:34" ht="9" customHeight="1">
      <c r="C5" s="12"/>
      <c r="AD5" s="64">
        <v>41274</v>
      </c>
      <c r="AF5" s="131">
        <f>F10</f>
        <v>2.0868559091139017E-05</v>
      </c>
      <c r="AG5" s="131">
        <f>SUM(F11:F13)</f>
        <v>0</v>
      </c>
      <c r="AH5" s="132">
        <f>F39</f>
        <v>0.06479447244073322</v>
      </c>
    </row>
    <row r="6" spans="2:3" ht="18.75">
      <c r="B6" s="11" t="s">
        <v>375</v>
      </c>
      <c r="C6" s="17"/>
    </row>
    <row r="7" spans="2:3" ht="14.25" customHeight="1">
      <c r="B7" s="11"/>
      <c r="C7" s="17"/>
    </row>
    <row r="8" spans="2:8" ht="18.75">
      <c r="B8" s="17"/>
      <c r="E8" s="18" t="s">
        <v>373</v>
      </c>
      <c r="F8" s="18" t="s">
        <v>374</v>
      </c>
      <c r="G8" s="18" t="s">
        <v>376</v>
      </c>
      <c r="H8" s="18" t="s">
        <v>374</v>
      </c>
    </row>
    <row r="9" spans="2:8" ht="14.25" customHeight="1">
      <c r="B9" s="17"/>
      <c r="C9" s="1" t="s">
        <v>362</v>
      </c>
      <c r="D9" s="1"/>
      <c r="E9" s="123">
        <f>'Stratification Tables Mortgages'!C20-Performance!E10</f>
        <v>2701830686.569994</v>
      </c>
      <c r="F9" s="124">
        <f>E9/$E$14</f>
        <v>0.999979131440909</v>
      </c>
      <c r="G9" s="3">
        <f>'Cover Pool Summary'!F14-Performance!G10</f>
        <v>42740</v>
      </c>
      <c r="H9" s="124">
        <f>G9/$G$14</f>
        <v>0.9999532076177998</v>
      </c>
    </row>
    <row r="10" spans="3:8" ht="14.25" customHeight="1">
      <c r="C10" s="20" t="s">
        <v>361</v>
      </c>
      <c r="D10" s="20"/>
      <c r="E10" s="119">
        <f>20837.84+35546.65</f>
        <v>56384.490000000005</v>
      </c>
      <c r="F10" s="36">
        <f>E10/$E$14</f>
        <v>2.0868559091139017E-05</v>
      </c>
      <c r="G10" s="120">
        <v>2</v>
      </c>
      <c r="H10" s="36">
        <f>G10/$G$14</f>
        <v>4.679238220017781E-05</v>
      </c>
    </row>
    <row r="11" spans="3:8" ht="14.25" customHeight="1">
      <c r="C11" s="48" t="s">
        <v>363</v>
      </c>
      <c r="D11" s="48"/>
      <c r="E11" s="125">
        <v>0</v>
      </c>
      <c r="F11" s="126">
        <f>E11/$E$14</f>
        <v>0</v>
      </c>
      <c r="G11" s="127">
        <v>0</v>
      </c>
      <c r="H11" s="126">
        <f>G11/$G$14</f>
        <v>0</v>
      </c>
    </row>
    <row r="12" spans="3:8" ht="14.25" customHeight="1">
      <c r="C12" s="20" t="s">
        <v>364</v>
      </c>
      <c r="D12" s="20"/>
      <c r="E12" s="119">
        <v>0</v>
      </c>
      <c r="F12" s="36">
        <f>E12/$E$14</f>
        <v>0</v>
      </c>
      <c r="G12" s="120">
        <v>0</v>
      </c>
      <c r="H12" s="36">
        <f>G12/$G$14</f>
        <v>0</v>
      </c>
    </row>
    <row r="13" spans="3:8" ht="14.25" customHeight="1">
      <c r="C13" s="48" t="s">
        <v>365</v>
      </c>
      <c r="D13" s="48"/>
      <c r="E13" s="125">
        <v>0</v>
      </c>
      <c r="F13" s="126">
        <f>E13/$E$14</f>
        <v>0</v>
      </c>
      <c r="G13" s="127">
        <v>0</v>
      </c>
      <c r="H13" s="126">
        <f>G13/$G$14</f>
        <v>0</v>
      </c>
    </row>
    <row r="14" spans="3:8" ht="14.25" customHeight="1">
      <c r="C14" s="106" t="s">
        <v>366</v>
      </c>
      <c r="D14" s="106"/>
      <c r="E14" s="121">
        <f>SUM(E9:E13)</f>
        <v>2701887071.0599937</v>
      </c>
      <c r="F14" s="122">
        <f>SUM(F9:F13)</f>
        <v>1.0000000000000002</v>
      </c>
      <c r="G14" s="137">
        <f>SUM(G9:G13)</f>
        <v>42742</v>
      </c>
      <c r="H14" s="122">
        <f>SUM(H9:H13)</f>
        <v>1</v>
      </c>
    </row>
    <row r="15" ht="14.25" customHeight="1"/>
    <row r="34" ht="15.75">
      <c r="B34" s="11" t="s">
        <v>367</v>
      </c>
    </row>
    <row r="35" ht="13.5" customHeight="1">
      <c r="B35" s="17"/>
    </row>
    <row r="36" spans="5:6" ht="15">
      <c r="E36" s="18" t="s">
        <v>371</v>
      </c>
      <c r="F36" s="18" t="s">
        <v>372</v>
      </c>
    </row>
    <row r="37" spans="3:6" ht="15">
      <c r="C37" s="1" t="s">
        <v>369</v>
      </c>
      <c r="D37" s="1"/>
      <c r="E37" s="128">
        <f>574388.46/2707657146.57</f>
        <v>0.0002121348564117959</v>
      </c>
      <c r="F37" s="128">
        <f>1-(1-E37)^12</f>
        <v>0.0025426502971083176</v>
      </c>
    </row>
    <row r="38" spans="3:6" ht="15">
      <c r="C38" s="20" t="s">
        <v>368</v>
      </c>
      <c r="D38" s="20"/>
      <c r="E38" s="118">
        <f>14498761.09/2707657146.57</f>
        <v>0.0053547256189236175</v>
      </c>
      <c r="F38" s="118">
        <f>1-(1-E38)^12</f>
        <v>0.062397658256233335</v>
      </c>
    </row>
    <row r="39" spans="3:6" ht="15">
      <c r="C39" s="4" t="s">
        <v>370</v>
      </c>
      <c r="D39" s="4"/>
      <c r="E39" s="129">
        <f>SUM(E37:E38)</f>
        <v>0.005566860475335413</v>
      </c>
      <c r="F39" s="130">
        <f>1-(1-E39)^12</f>
        <v>0.06479447244073322</v>
      </c>
    </row>
    <row r="50" spans="2:3" ht="18.75">
      <c r="B50" s="17"/>
      <c r="C50" s="117"/>
    </row>
    <row r="55" ht="18.75">
      <c r="B55" s="17"/>
    </row>
    <row r="74" ht="18.75">
      <c r="B74" s="17"/>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8" r:id="rId2"/>
  <headerFooter>
    <oddFooter>&amp;LBelfius Mortgage Pandbrieven Programme - Investor Report&amp;R&amp;P</oddFooter>
  </headerFooter>
  <rowBreaks count="1" manualBreakCount="1">
    <brk id="56" min="1" max="8"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K3:R365"/>
  <sheetViews>
    <sheetView zoomScalePageLayoutView="0" workbookViewId="0" topLeftCell="A1">
      <selection activeCell="K24" sqref="K24"/>
    </sheetView>
  </sheetViews>
  <sheetFormatPr defaultColWidth="9.140625" defaultRowHeight="15"/>
  <cols>
    <col min="1" max="1" width="6.57421875" style="12" customWidth="1"/>
    <col min="2" max="9" width="20.00390625" style="12" customWidth="1"/>
    <col min="10" max="10" width="5.140625" style="12" customWidth="1"/>
    <col min="11" max="12" width="20.00390625" style="12" customWidth="1"/>
    <col min="13" max="13" width="3.140625" style="12" customWidth="1"/>
    <col min="14" max="14" width="10.7109375" style="12" bestFit="1" customWidth="1"/>
    <col min="15" max="18" width="24.8515625" style="82" customWidth="1"/>
    <col min="19" max="164" width="11.00390625" style="12" bestFit="1" customWidth="1"/>
    <col min="165" max="166" width="12.00390625" style="12" bestFit="1" customWidth="1"/>
    <col min="167" max="167" width="10.00390625" style="12" bestFit="1" customWidth="1"/>
    <col min="168" max="169" width="12.00390625" style="12" bestFit="1" customWidth="1"/>
    <col min="170" max="170" width="10.00390625" style="12" bestFit="1" customWidth="1"/>
    <col min="171" max="180" width="12.00390625" style="12" bestFit="1" customWidth="1"/>
    <col min="181" max="181" width="10.00390625" style="12" bestFit="1" customWidth="1"/>
    <col min="182" max="194" width="12.00390625" style="12" bestFit="1" customWidth="1"/>
    <col min="195" max="195" width="10.00390625" style="12" bestFit="1" customWidth="1"/>
    <col min="196" max="200" width="12.00390625" style="12" bestFit="1" customWidth="1"/>
    <col min="201" max="201" width="10.00390625" style="12" bestFit="1" customWidth="1"/>
    <col min="202" max="204" width="12.00390625" style="12" bestFit="1" customWidth="1"/>
    <col min="205" max="205" width="10.00390625" style="12" bestFit="1" customWidth="1"/>
    <col min="206" max="208" width="12.00390625" style="12" bestFit="1" customWidth="1"/>
    <col min="209" max="209" width="10.00390625" style="12" bestFit="1" customWidth="1"/>
    <col min="210" max="216" width="12.00390625" style="12" bestFit="1" customWidth="1"/>
    <col min="217" max="217" width="10.00390625" style="12" bestFit="1" customWidth="1"/>
    <col min="218" max="229" width="12.00390625" style="12" bestFit="1" customWidth="1"/>
    <col min="230" max="230" width="10.00390625" style="12" bestFit="1" customWidth="1"/>
    <col min="231" max="233" width="12.00390625" style="12" bestFit="1" customWidth="1"/>
    <col min="234" max="234" width="10.00390625" style="12" bestFit="1" customWidth="1"/>
    <col min="235" max="235" width="12.00390625" style="12" bestFit="1" customWidth="1"/>
    <col min="236" max="236" width="10.00390625" style="12" bestFit="1" customWidth="1"/>
    <col min="237" max="249" width="12.00390625" style="12" bestFit="1" customWidth="1"/>
    <col min="250" max="250" width="10.00390625" style="12" bestFit="1" customWidth="1"/>
    <col min="251" max="254" width="12.00390625" style="12" bestFit="1" customWidth="1"/>
    <col min="255" max="16384" width="10.00390625" style="12" bestFit="1" customWidth="1"/>
  </cols>
  <sheetData>
    <row r="3" spans="11:18" ht="15">
      <c r="K3" s="139" t="s">
        <v>388</v>
      </c>
      <c r="L3" s="139"/>
      <c r="N3" s="140" t="s">
        <v>387</v>
      </c>
      <c r="O3" s="140"/>
      <c r="P3" s="140"/>
      <c r="Q3" s="140"/>
      <c r="R3" s="140"/>
    </row>
    <row r="4" spans="12:18" s="133" customFormat="1" ht="28.5" customHeight="1">
      <c r="L4" s="133" t="s">
        <v>386</v>
      </c>
      <c r="O4" s="133" t="s">
        <v>382</v>
      </c>
      <c r="P4" s="134" t="s">
        <v>383</v>
      </c>
      <c r="Q4" s="134" t="s">
        <v>384</v>
      </c>
      <c r="R4" s="134" t="s">
        <v>385</v>
      </c>
    </row>
    <row r="5" spans="11:18" ht="15">
      <c r="K5" s="64">
        <v>41274</v>
      </c>
      <c r="L5" s="82">
        <f>SUMIF('Covered Bond Series'!$G$5:$G$9,"&gt;"&amp;'Amortisation Profiles'!K5,'Covered Bond Series'!$E$5:$E$9)</f>
        <v>1340000000</v>
      </c>
      <c r="N5" s="64">
        <v>41274</v>
      </c>
      <c r="O5" s="82">
        <v>2701887071.06</v>
      </c>
      <c r="P5" s="82">
        <v>2701887071.06</v>
      </c>
      <c r="Q5" s="82">
        <v>2701887071.06</v>
      </c>
      <c r="R5" s="82">
        <v>2701887071.06</v>
      </c>
    </row>
    <row r="6" spans="11:18" ht="15">
      <c r="K6" s="64">
        <f>EOMONTH(K5,1)</f>
        <v>41305</v>
      </c>
      <c r="L6" s="82">
        <f>SUMIF('Covered Bond Series'!$G$5:$G$9,"&gt;"&amp;'Amortisation Profiles'!K6,'Covered Bond Series'!$E$5:$E$9)</f>
        <v>1340000000</v>
      </c>
      <c r="N6" s="64">
        <f>EOMONTH(N5,1)</f>
        <v>41305</v>
      </c>
      <c r="O6" s="82">
        <v>2689944574.2105</v>
      </c>
      <c r="P6" s="82">
        <v>2685419702.7746</v>
      </c>
      <c r="Q6" s="82">
        <v>2678471102.50917</v>
      </c>
      <c r="R6" s="82">
        <v>2666430125.13119</v>
      </c>
    </row>
    <row r="7" spans="11:18" ht="15">
      <c r="K7" s="64">
        <f aca="true" t="shared" si="0" ref="K7:K70">EOMONTH(K6,1)</f>
        <v>41333</v>
      </c>
      <c r="L7" s="82">
        <f>SUMIF('Covered Bond Series'!$G$5:$G$9,"&gt;"&amp;'Amortisation Profiles'!K7,'Covered Bond Series'!$E$5:$E$9)</f>
        <v>1340000000</v>
      </c>
      <c r="N7" s="64">
        <f aca="true" t="shared" si="1" ref="N7:N70">EOMONTH(N6,1)</f>
        <v>41333</v>
      </c>
      <c r="O7" s="82">
        <v>2677749396.4585</v>
      </c>
      <c r="P7" s="82">
        <v>2668748259.68327</v>
      </c>
      <c r="Q7" s="82">
        <v>2654955201.99736</v>
      </c>
      <c r="R7" s="82">
        <v>2631138332.19773</v>
      </c>
    </row>
    <row r="8" spans="11:18" ht="15">
      <c r="K8" s="64">
        <f t="shared" si="0"/>
        <v>41364</v>
      </c>
      <c r="L8" s="82">
        <f>SUMIF('Covered Bond Series'!$G$5:$G$9,"&gt;"&amp;'Amortisation Profiles'!K8,'Covered Bond Series'!$E$5:$E$9)</f>
        <v>1340000000</v>
      </c>
      <c r="N8" s="64">
        <f t="shared" si="1"/>
        <v>41364</v>
      </c>
      <c r="O8" s="82">
        <v>2665164681.9474</v>
      </c>
      <c r="P8" s="82">
        <v>2651737728.8638</v>
      </c>
      <c r="Q8" s="82">
        <v>2631206603.41961</v>
      </c>
      <c r="R8" s="82">
        <v>2595880386.58883</v>
      </c>
    </row>
    <row r="9" spans="11:18" ht="15">
      <c r="K9" s="64">
        <f t="shared" si="0"/>
        <v>41394</v>
      </c>
      <c r="L9" s="82">
        <f>SUMIF('Covered Bond Series'!$G$5:$G$9,"&gt;"&amp;'Amortisation Profiles'!K9,'Covered Bond Series'!$E$5:$E$9)</f>
        <v>1340000000</v>
      </c>
      <c r="N9" s="64">
        <f t="shared" si="1"/>
        <v>41394</v>
      </c>
      <c r="O9" s="82">
        <v>2652245443.151</v>
      </c>
      <c r="P9" s="82">
        <v>2634444598.15555</v>
      </c>
      <c r="Q9" s="82">
        <v>2607283440.5854</v>
      </c>
      <c r="R9" s="82">
        <v>2560714821.77691</v>
      </c>
    </row>
    <row r="10" spans="11:18" ht="15">
      <c r="K10" s="64">
        <f t="shared" si="0"/>
        <v>41425</v>
      </c>
      <c r="L10" s="82">
        <f>SUMIF('Covered Bond Series'!$G$5:$G$9,"&gt;"&amp;'Amortisation Profiles'!K10,'Covered Bond Series'!$E$5:$E$9)</f>
        <v>1340000000</v>
      </c>
      <c r="N10" s="64">
        <f t="shared" si="1"/>
        <v>41425</v>
      </c>
      <c r="O10" s="82">
        <v>2639598092.5648</v>
      </c>
      <c r="P10" s="82">
        <v>2617471751.30021</v>
      </c>
      <c r="Q10" s="82">
        <v>2583782629.47435</v>
      </c>
      <c r="R10" s="82">
        <v>2526225907.98938</v>
      </c>
    </row>
    <row r="11" spans="11:18" ht="15">
      <c r="K11" s="64">
        <f t="shared" si="0"/>
        <v>41455</v>
      </c>
      <c r="L11" s="82">
        <f>SUMIF('Covered Bond Series'!$G$5:$G$9,"&gt;"&amp;'Amortisation Profiles'!K11,'Covered Bond Series'!$E$5:$E$9)</f>
        <v>1340000000</v>
      </c>
      <c r="N11" s="64">
        <f t="shared" si="1"/>
        <v>41455</v>
      </c>
      <c r="O11" s="82">
        <v>2626502790.8536</v>
      </c>
      <c r="P11" s="82">
        <v>2600105103.5421</v>
      </c>
      <c r="Q11" s="82">
        <v>2559998250.9621</v>
      </c>
      <c r="R11" s="82">
        <v>2491719329.83319</v>
      </c>
    </row>
    <row r="12" spans="11:18" ht="15">
      <c r="K12" s="64">
        <f t="shared" si="0"/>
        <v>41486</v>
      </c>
      <c r="L12" s="82">
        <f>SUMIF('Covered Bond Series'!$G$5:$G$9,"&gt;"&amp;'Amortisation Profiles'!K12,'Covered Bond Series'!$E$5:$E$9)</f>
        <v>1340000000</v>
      </c>
      <c r="N12" s="64">
        <f t="shared" si="1"/>
        <v>41486</v>
      </c>
      <c r="O12" s="82">
        <v>2614436789.8319</v>
      </c>
      <c r="P12" s="82">
        <v>2583806715.08361</v>
      </c>
      <c r="Q12" s="82">
        <v>2537368720.18702</v>
      </c>
      <c r="R12" s="82">
        <v>2458590939.60344</v>
      </c>
    </row>
    <row r="13" spans="11:18" ht="15">
      <c r="K13" s="64">
        <f t="shared" si="0"/>
        <v>41517</v>
      </c>
      <c r="L13" s="82">
        <f>SUMIF('Covered Bond Series'!$G$5:$G$9,"&gt;"&amp;'Amortisation Profiles'!K13,'Covered Bond Series'!$E$5:$E$9)</f>
        <v>1340000000</v>
      </c>
      <c r="N13" s="64">
        <f t="shared" si="1"/>
        <v>41517</v>
      </c>
      <c r="O13" s="82">
        <v>2601073436.9186</v>
      </c>
      <c r="P13" s="82">
        <v>2566275808.28628</v>
      </c>
      <c r="Q13" s="82">
        <v>2513631923.48304</v>
      </c>
      <c r="R13" s="82">
        <v>2424641980.62619</v>
      </c>
    </row>
    <row r="14" spans="11:18" ht="15">
      <c r="K14" s="64">
        <f t="shared" si="0"/>
        <v>41547</v>
      </c>
      <c r="L14" s="82">
        <f>SUMIF('Covered Bond Series'!$G$5:$G$9,"&gt;"&amp;'Amortisation Profiles'!K14,'Covered Bond Series'!$E$5:$E$9)</f>
        <v>1340000000</v>
      </c>
      <c r="N14" s="64">
        <f t="shared" si="1"/>
        <v>41547</v>
      </c>
      <c r="O14" s="82">
        <v>2588425820.3933</v>
      </c>
      <c r="P14" s="82">
        <v>2549501541.41129</v>
      </c>
      <c r="Q14" s="82">
        <v>2490740177.81029</v>
      </c>
      <c r="R14" s="82">
        <v>2391760040.17868</v>
      </c>
    </row>
    <row r="15" spans="11:18" ht="15">
      <c r="K15" s="64">
        <f t="shared" si="0"/>
        <v>41578</v>
      </c>
      <c r="L15" s="82">
        <f>SUMIF('Covered Bond Series'!$G$5:$G$9,"&gt;"&amp;'Amortisation Profiles'!K15,'Covered Bond Series'!$E$5:$E$9)</f>
        <v>1340000000</v>
      </c>
      <c r="N15" s="64">
        <f t="shared" si="1"/>
        <v>41578</v>
      </c>
      <c r="O15" s="82">
        <v>2574979751.6727</v>
      </c>
      <c r="P15" s="82">
        <v>2531991324.76176</v>
      </c>
      <c r="Q15" s="82">
        <v>2467232942.68864</v>
      </c>
      <c r="R15" s="82">
        <v>2358536362.7231</v>
      </c>
    </row>
    <row r="16" spans="11:18" ht="15">
      <c r="K16" s="64">
        <f t="shared" si="0"/>
        <v>41608</v>
      </c>
      <c r="L16" s="82">
        <f>SUMIF('Covered Bond Series'!$G$5:$G$9,"&gt;"&amp;'Amortisation Profiles'!K16,'Covered Bond Series'!$E$5:$E$9)</f>
        <v>1340000000</v>
      </c>
      <c r="N16" s="64">
        <f t="shared" si="1"/>
        <v>41608</v>
      </c>
      <c r="O16" s="82">
        <v>2561155231.9215</v>
      </c>
      <c r="P16" s="82">
        <v>2514161296.3275</v>
      </c>
      <c r="Q16" s="82">
        <v>2443519855.91544</v>
      </c>
      <c r="R16" s="82">
        <v>2325367164.96987</v>
      </c>
    </row>
    <row r="17" spans="11:18" ht="15">
      <c r="K17" s="64">
        <f t="shared" si="0"/>
        <v>41639</v>
      </c>
      <c r="L17" s="82">
        <f>SUMIF('Covered Bond Series'!$G$5:$G$9,"&gt;"&amp;'Amortisation Profiles'!K17,'Covered Bond Series'!$E$5:$E$9)</f>
        <v>1340000000</v>
      </c>
      <c r="N17" s="64">
        <f t="shared" si="1"/>
        <v>41639</v>
      </c>
      <c r="O17" s="82">
        <v>2547246008.6391</v>
      </c>
      <c r="P17" s="82">
        <v>2496301078.27733</v>
      </c>
      <c r="Q17" s="82">
        <v>2419883703.11265</v>
      </c>
      <c r="R17" s="82">
        <v>2292521407.77519</v>
      </c>
    </row>
    <row r="18" spans="11:18" ht="15">
      <c r="K18" s="64">
        <f t="shared" si="0"/>
        <v>41670</v>
      </c>
      <c r="L18" s="82">
        <f>SUMIF('Covered Bond Series'!$G$5:$G$9,"&gt;"&amp;'Amortisation Profiles'!K18,'Covered Bond Series'!$E$5:$E$9)</f>
        <v>1340000000</v>
      </c>
      <c r="N18" s="64">
        <f t="shared" si="1"/>
        <v>41670</v>
      </c>
      <c r="O18" s="82">
        <v>2534518949.8669</v>
      </c>
      <c r="P18" s="82">
        <v>2479650406.24263</v>
      </c>
      <c r="Q18" s="82">
        <v>2397522992.19015</v>
      </c>
      <c r="R18" s="82">
        <v>2261126853.76808</v>
      </c>
    </row>
    <row r="19" spans="11:18" ht="15">
      <c r="K19" s="64">
        <f t="shared" si="0"/>
        <v>41698</v>
      </c>
      <c r="L19" s="82">
        <f>SUMIF('Covered Bond Series'!$G$5:$G$9,"&gt;"&amp;'Amortisation Profiles'!K19,'Covered Bond Series'!$E$5:$E$9)</f>
        <v>1340000000</v>
      </c>
      <c r="N19" s="64">
        <f t="shared" si="1"/>
        <v>41698</v>
      </c>
      <c r="O19" s="82">
        <v>2521452937.4757</v>
      </c>
      <c r="P19" s="82">
        <v>2462717630.29451</v>
      </c>
      <c r="Q19" s="82">
        <v>2374989741.95081</v>
      </c>
      <c r="R19" s="82">
        <v>2229806244.30656</v>
      </c>
    </row>
    <row r="20" spans="11:18" ht="15">
      <c r="K20" s="64">
        <f t="shared" si="0"/>
        <v>41729</v>
      </c>
      <c r="L20" s="82">
        <f>SUMIF('Covered Bond Series'!$G$5:$G$9,"&gt;"&amp;'Amortisation Profiles'!K20,'Covered Bond Series'!$E$5:$E$9)</f>
        <v>1340000000</v>
      </c>
      <c r="N20" s="64">
        <f t="shared" si="1"/>
        <v>41729</v>
      </c>
      <c r="O20" s="82">
        <v>2507932405.6753</v>
      </c>
      <c r="P20" s="82">
        <v>2445391618.76781</v>
      </c>
      <c r="Q20" s="82">
        <v>2352178805.99926</v>
      </c>
      <c r="R20" s="82">
        <v>2198462001.0551</v>
      </c>
    </row>
    <row r="21" spans="11:18" ht="15">
      <c r="K21" s="64">
        <f t="shared" si="0"/>
        <v>41759</v>
      </c>
      <c r="L21" s="82">
        <f>SUMIF('Covered Bond Series'!$G$5:$G$9,"&gt;"&amp;'Amortisation Profiles'!K21,'Covered Bond Series'!$E$5:$E$9)</f>
        <v>1340000000</v>
      </c>
      <c r="N21" s="64">
        <f t="shared" si="1"/>
        <v>41759</v>
      </c>
      <c r="O21" s="82">
        <v>2494350971.5906</v>
      </c>
      <c r="P21" s="82">
        <v>2428057645.49351</v>
      </c>
      <c r="Q21" s="82">
        <v>2329462377.03463</v>
      </c>
      <c r="R21" s="82">
        <v>2167442443.24011</v>
      </c>
    </row>
    <row r="22" spans="11:18" ht="15">
      <c r="K22" s="64">
        <f t="shared" si="0"/>
        <v>41790</v>
      </c>
      <c r="L22" s="82">
        <f>SUMIF('Covered Bond Series'!$G$5:$G$9,"&gt;"&amp;'Amortisation Profiles'!K22,'Covered Bond Series'!$E$5:$E$9)</f>
        <v>1340000000</v>
      </c>
      <c r="N22" s="64">
        <f t="shared" si="1"/>
        <v>41790</v>
      </c>
      <c r="O22" s="82">
        <v>2480505857.4712</v>
      </c>
      <c r="P22" s="82">
        <v>2410518828.71319</v>
      </c>
      <c r="Q22" s="82">
        <v>2306651741.24676</v>
      </c>
      <c r="R22" s="82">
        <v>2136570092.43363</v>
      </c>
    </row>
    <row r="23" spans="11:18" ht="15">
      <c r="K23" s="64">
        <f t="shared" si="0"/>
        <v>41820</v>
      </c>
      <c r="L23" s="82">
        <f>SUMIF('Covered Bond Series'!$G$5:$G$9,"&gt;"&amp;'Amortisation Profiles'!K23,'Covered Bond Series'!$E$5:$E$9)</f>
        <v>1340000000</v>
      </c>
      <c r="N23" s="64">
        <f t="shared" si="1"/>
        <v>41820</v>
      </c>
      <c r="O23" s="82">
        <v>2466903218.0491</v>
      </c>
      <c r="P23" s="82">
        <v>2393267383.04123</v>
      </c>
      <c r="Q23" s="82">
        <v>2284217832.54505</v>
      </c>
      <c r="R23" s="82">
        <v>2106278889.71078</v>
      </c>
    </row>
    <row r="24" spans="11:18" ht="15">
      <c r="K24" s="64">
        <f t="shared" si="0"/>
        <v>41851</v>
      </c>
      <c r="L24" s="82">
        <f>SUMIF('Covered Bond Series'!$G$5:$G$9,"&gt;"&amp;'Amortisation Profiles'!K24,'Covered Bond Series'!$E$5:$E$9)</f>
        <v>1340000000</v>
      </c>
      <c r="N24" s="64">
        <f t="shared" si="1"/>
        <v>41851</v>
      </c>
      <c r="O24" s="82">
        <v>2454911340.4779</v>
      </c>
      <c r="P24" s="82">
        <v>2377627208.68188</v>
      </c>
      <c r="Q24" s="82">
        <v>2263418451.00473</v>
      </c>
      <c r="R24" s="82">
        <v>2077717279.19773</v>
      </c>
    </row>
    <row r="25" spans="11:18" ht="15">
      <c r="K25" s="64">
        <f t="shared" si="0"/>
        <v>41882</v>
      </c>
      <c r="L25" s="82">
        <f>SUMIF('Covered Bond Series'!$G$5:$G$9,"&gt;"&amp;'Amortisation Profiles'!K25,'Covered Bond Series'!$E$5:$E$9)</f>
        <v>1340000000</v>
      </c>
      <c r="N25" s="64">
        <f t="shared" si="1"/>
        <v>41882</v>
      </c>
      <c r="O25" s="82">
        <v>2442501916.4316</v>
      </c>
      <c r="P25" s="82">
        <v>2361629158.74235</v>
      </c>
      <c r="Q25" s="82">
        <v>2242371611.4632</v>
      </c>
      <c r="R25" s="82">
        <v>2049143763.17561</v>
      </c>
    </row>
    <row r="26" spans="11:18" ht="15">
      <c r="K26" s="64">
        <f t="shared" si="0"/>
        <v>41912</v>
      </c>
      <c r="L26" s="82">
        <f>SUMIF('Covered Bond Series'!$G$5:$G$9,"&gt;"&amp;'Amortisation Profiles'!K26,'Covered Bond Series'!$E$5:$E$9)</f>
        <v>1340000000</v>
      </c>
      <c r="N26" s="64">
        <f t="shared" si="1"/>
        <v>41912</v>
      </c>
      <c r="O26" s="82">
        <v>2430556838.8682</v>
      </c>
      <c r="P26" s="82">
        <v>2346126420.67857</v>
      </c>
      <c r="Q26" s="82">
        <v>2221887618.27601</v>
      </c>
      <c r="R26" s="82">
        <v>2021297191.87992</v>
      </c>
    </row>
    <row r="27" spans="11:18" ht="15">
      <c r="K27" s="64">
        <f t="shared" si="0"/>
        <v>41943</v>
      </c>
      <c r="L27" s="82">
        <f>SUMIF('Covered Bond Series'!$G$5:$G$9,"&gt;"&amp;'Amortisation Profiles'!K27,'Covered Bond Series'!$E$5:$E$9)</f>
        <v>1340000000</v>
      </c>
      <c r="N27" s="64">
        <f t="shared" si="1"/>
        <v>41943</v>
      </c>
      <c r="O27" s="82">
        <v>2418516952.5536</v>
      </c>
      <c r="P27" s="82">
        <v>2330577794.55256</v>
      </c>
      <c r="Q27" s="82">
        <v>2201451271.08288</v>
      </c>
      <c r="R27" s="82">
        <v>1993702725.43497</v>
      </c>
    </row>
    <row r="28" spans="11:18" ht="15">
      <c r="K28" s="64">
        <f t="shared" si="0"/>
        <v>41973</v>
      </c>
      <c r="L28" s="82">
        <f>SUMIF('Covered Bond Series'!$G$5:$G$9,"&gt;"&amp;'Amortisation Profiles'!K28,'Covered Bond Series'!$E$5:$E$9)</f>
        <v>1340000000</v>
      </c>
      <c r="N28" s="64">
        <f t="shared" si="1"/>
        <v>41973</v>
      </c>
      <c r="O28" s="82">
        <v>2406427194.9635</v>
      </c>
      <c r="P28" s="82">
        <v>2315026862.0062</v>
      </c>
      <c r="Q28" s="82">
        <v>2181103634.57252</v>
      </c>
      <c r="R28" s="82">
        <v>1966395488.71243</v>
      </c>
    </row>
    <row r="29" spans="11:18" ht="15">
      <c r="K29" s="64">
        <f t="shared" si="0"/>
        <v>42004</v>
      </c>
      <c r="L29" s="82">
        <f>SUMIF('Covered Bond Series'!$G$5:$G$9,"&gt;"&amp;'Amortisation Profiles'!K29,'Covered Bond Series'!$E$5:$E$9)</f>
        <v>1340000000</v>
      </c>
      <c r="N29" s="64">
        <f t="shared" si="1"/>
        <v>42004</v>
      </c>
      <c r="O29" s="82">
        <v>2394519081.9118</v>
      </c>
      <c r="P29" s="82">
        <v>2299696104.71742</v>
      </c>
      <c r="Q29" s="82">
        <v>2161053459.4528</v>
      </c>
      <c r="R29" s="82">
        <v>1939560451.55952</v>
      </c>
    </row>
    <row r="30" spans="11:18" ht="15">
      <c r="K30" s="64">
        <f t="shared" si="0"/>
        <v>42035</v>
      </c>
      <c r="L30" s="82">
        <f>SUMIF('Covered Bond Series'!$G$5:$G$9,"&gt;"&amp;'Amortisation Profiles'!K30,'Covered Bond Series'!$E$5:$E$9)</f>
        <v>1340000000</v>
      </c>
      <c r="N30" s="64">
        <f t="shared" si="1"/>
        <v>42035</v>
      </c>
      <c r="O30" s="82">
        <v>2381934918.7426</v>
      </c>
      <c r="P30" s="82">
        <v>2283762187.2037</v>
      </c>
      <c r="Q30" s="82">
        <v>2140527112.88256</v>
      </c>
      <c r="R30" s="82">
        <v>1912501500.92882</v>
      </c>
    </row>
    <row r="31" spans="11:18" ht="15">
      <c r="K31" s="64">
        <f t="shared" si="0"/>
        <v>42063</v>
      </c>
      <c r="L31" s="82">
        <f>SUMIF('Covered Bond Series'!$G$5:$G$9,"&gt;"&amp;'Amortisation Profiles'!K31,'Covered Bond Series'!$E$5:$E$9)</f>
        <v>1340000000</v>
      </c>
      <c r="N31" s="64">
        <f t="shared" si="1"/>
        <v>42063</v>
      </c>
      <c r="O31" s="82">
        <v>2369953223.0087</v>
      </c>
      <c r="P31" s="82">
        <v>2268452032.15014</v>
      </c>
      <c r="Q31" s="82">
        <v>2120675651.30893</v>
      </c>
      <c r="R31" s="82">
        <v>1886246919.61993</v>
      </c>
    </row>
    <row r="32" spans="11:18" ht="15">
      <c r="K32" s="64">
        <f t="shared" si="0"/>
        <v>42094</v>
      </c>
      <c r="L32" s="82">
        <f>SUMIF('Covered Bond Series'!$G$5:$G$9,"&gt;"&amp;'Amortisation Profiles'!K32,'Covered Bond Series'!$E$5:$E$9)</f>
        <v>1340000000</v>
      </c>
      <c r="N32" s="64">
        <f t="shared" si="1"/>
        <v>42094</v>
      </c>
      <c r="O32" s="82">
        <v>2357934414.3897</v>
      </c>
      <c r="P32" s="82">
        <v>2253151459.09669</v>
      </c>
      <c r="Q32" s="82">
        <v>2100921525.02265</v>
      </c>
      <c r="R32" s="82">
        <v>1860275928.50368</v>
      </c>
    </row>
    <row r="33" spans="11:18" ht="15">
      <c r="K33" s="64">
        <f t="shared" si="0"/>
        <v>42124</v>
      </c>
      <c r="L33" s="82">
        <f>SUMIF('Covered Bond Series'!$G$5:$G$9,"&gt;"&amp;'Amortisation Profiles'!K33,'Covered Bond Series'!$E$5:$E$9)</f>
        <v>1340000000</v>
      </c>
      <c r="N33" s="64">
        <f t="shared" si="1"/>
        <v>42124</v>
      </c>
      <c r="O33" s="82">
        <v>2345314756.1204</v>
      </c>
      <c r="P33" s="82">
        <v>2237322761.07449</v>
      </c>
      <c r="Q33" s="82">
        <v>2080764257.77004</v>
      </c>
      <c r="R33" s="82">
        <v>1834144961.89083</v>
      </c>
    </row>
    <row r="34" spans="11:18" ht="15">
      <c r="K34" s="64">
        <f t="shared" si="0"/>
        <v>42155</v>
      </c>
      <c r="L34" s="82">
        <f>SUMIF('Covered Bond Series'!$G$5:$G$9,"&gt;"&amp;'Amortisation Profiles'!K34,'Covered Bond Series'!$E$5:$E$9)</f>
        <v>1340000000</v>
      </c>
      <c r="N34" s="64">
        <f t="shared" si="1"/>
        <v>42155</v>
      </c>
      <c r="O34" s="82">
        <v>2333256224.4151</v>
      </c>
      <c r="P34" s="82">
        <v>2222075328.69592</v>
      </c>
      <c r="Q34" s="82">
        <v>2061236431.39635</v>
      </c>
      <c r="R34" s="82">
        <v>1808763686.05792</v>
      </c>
    </row>
    <row r="35" spans="11:18" ht="15">
      <c r="K35" s="64">
        <f t="shared" si="0"/>
        <v>42185</v>
      </c>
      <c r="L35" s="82">
        <f>SUMIF('Covered Bond Series'!$G$5:$G$9,"&gt;"&amp;'Amortisation Profiles'!K35,'Covered Bond Series'!$E$5:$E$9)</f>
        <v>1340000000</v>
      </c>
      <c r="N35" s="64">
        <f t="shared" si="1"/>
        <v>42185</v>
      </c>
      <c r="O35" s="82">
        <v>2320289613.4584</v>
      </c>
      <c r="P35" s="82">
        <v>2206009507.50632</v>
      </c>
      <c r="Q35" s="82">
        <v>2041038544.83274</v>
      </c>
      <c r="R35" s="82">
        <v>1782988199.07479</v>
      </c>
    </row>
    <row r="36" spans="11:18" ht="15">
      <c r="K36" s="64">
        <f t="shared" si="0"/>
        <v>42216</v>
      </c>
      <c r="L36" s="82">
        <f>SUMIF('Covered Bond Series'!$G$5:$G$9,"&gt;"&amp;'Amortisation Profiles'!K36,'Covered Bond Series'!$E$5:$E$9)</f>
        <v>1340000000</v>
      </c>
      <c r="N36" s="64">
        <f t="shared" si="1"/>
        <v>42216</v>
      </c>
      <c r="O36" s="82">
        <v>2308118289.6162</v>
      </c>
      <c r="P36" s="82">
        <v>2190746294.58699</v>
      </c>
      <c r="Q36" s="82">
        <v>2021672048.2578</v>
      </c>
      <c r="R36" s="82">
        <v>1758130917.29996</v>
      </c>
    </row>
    <row r="37" spans="11:18" ht="15">
      <c r="K37" s="64">
        <f t="shared" si="0"/>
        <v>42247</v>
      </c>
      <c r="L37" s="82">
        <f>SUMIF('Covered Bond Series'!$G$5:$G$9,"&gt;"&amp;'Amortisation Profiles'!K37,'Covered Bond Series'!$E$5:$E$9)</f>
        <v>1340000000</v>
      </c>
      <c r="N37" s="64">
        <f t="shared" si="1"/>
        <v>42247</v>
      </c>
      <c r="O37" s="82">
        <v>2296000071.0661</v>
      </c>
      <c r="P37" s="82">
        <v>2175578508.79479</v>
      </c>
      <c r="Q37" s="82">
        <v>2002479943.17302</v>
      </c>
      <c r="R37" s="82">
        <v>1733612069.06699</v>
      </c>
    </row>
    <row r="38" spans="11:18" ht="15">
      <c r="K38" s="64">
        <f t="shared" si="0"/>
        <v>42277</v>
      </c>
      <c r="L38" s="82">
        <f>SUMIF('Covered Bond Series'!$G$5:$G$9,"&gt;"&amp;'Amortisation Profiles'!K38,'Covered Bond Series'!$E$5:$E$9)</f>
        <v>1340000000</v>
      </c>
      <c r="N38" s="64">
        <f t="shared" si="1"/>
        <v>42277</v>
      </c>
      <c r="O38" s="82">
        <v>2283977444.0002</v>
      </c>
      <c r="P38" s="82">
        <v>2160545978.975</v>
      </c>
      <c r="Q38" s="82">
        <v>1983497794.00336</v>
      </c>
      <c r="R38" s="82">
        <v>1709459086.23827</v>
      </c>
    </row>
    <row r="39" spans="11:18" ht="15">
      <c r="K39" s="64">
        <f t="shared" si="0"/>
        <v>42308</v>
      </c>
      <c r="L39" s="82">
        <f>SUMIF('Covered Bond Series'!$G$5:$G$9,"&gt;"&amp;'Amortisation Profiles'!K39,'Covered Bond Series'!$E$5:$E$9)</f>
        <v>1340000000</v>
      </c>
      <c r="N39" s="64">
        <f t="shared" si="1"/>
        <v>42308</v>
      </c>
      <c r="O39" s="82">
        <v>2271948176.2465</v>
      </c>
      <c r="P39" s="82">
        <v>2145551595.16276</v>
      </c>
      <c r="Q39" s="82">
        <v>1964635403.12612</v>
      </c>
      <c r="R39" s="82">
        <v>1685590972.58919</v>
      </c>
    </row>
    <row r="40" spans="11:18" ht="15">
      <c r="K40" s="64">
        <f t="shared" si="0"/>
        <v>42338</v>
      </c>
      <c r="L40" s="82">
        <f>SUMIF('Covered Bond Series'!$G$5:$G$9,"&gt;"&amp;'Amortisation Profiles'!K40,'Covered Bond Series'!$E$5:$E$9)</f>
        <v>1340000000</v>
      </c>
      <c r="N40" s="64">
        <f t="shared" si="1"/>
        <v>42338</v>
      </c>
      <c r="O40" s="82">
        <v>2259535265.9859</v>
      </c>
      <c r="P40" s="82">
        <v>2130239854.29421</v>
      </c>
      <c r="Q40" s="82">
        <v>1945567499.23579</v>
      </c>
      <c r="R40" s="82">
        <v>1661727379.26728</v>
      </c>
    </row>
    <row r="41" spans="11:18" ht="15">
      <c r="K41" s="64">
        <f t="shared" si="0"/>
        <v>42369</v>
      </c>
      <c r="L41" s="82">
        <f>SUMIF('Covered Bond Series'!$G$5:$G$9,"&gt;"&amp;'Amortisation Profiles'!K41,'Covered Bond Series'!$E$5:$E$9)</f>
        <v>1340000000</v>
      </c>
      <c r="N41" s="64">
        <f t="shared" si="1"/>
        <v>42369</v>
      </c>
      <c r="O41" s="82">
        <v>2247497794.2193</v>
      </c>
      <c r="P41" s="82">
        <v>2115326914.71938</v>
      </c>
      <c r="Q41" s="82">
        <v>1926948405.58628</v>
      </c>
      <c r="R41" s="82">
        <v>1638425887.49087</v>
      </c>
    </row>
    <row r="42" spans="11:18" ht="15">
      <c r="K42" s="64">
        <f t="shared" si="0"/>
        <v>42400</v>
      </c>
      <c r="L42" s="82">
        <f>SUMIF('Covered Bond Series'!$G$5:$G$9,"&gt;"&amp;'Amortisation Profiles'!K42,'Covered Bond Series'!$E$5:$E$9)</f>
        <v>1340000000</v>
      </c>
      <c r="N42" s="64">
        <f t="shared" si="1"/>
        <v>42400</v>
      </c>
      <c r="O42" s="82">
        <v>2235350577.4962</v>
      </c>
      <c r="P42" s="82">
        <v>2100354999.93394</v>
      </c>
      <c r="Q42" s="82">
        <v>1908359057.84916</v>
      </c>
      <c r="R42" s="82">
        <v>1615325495.43195</v>
      </c>
    </row>
    <row r="43" spans="11:18" ht="15">
      <c r="K43" s="64">
        <f t="shared" si="0"/>
        <v>42429</v>
      </c>
      <c r="L43" s="82">
        <f>SUMIF('Covered Bond Series'!$G$5:$G$9,"&gt;"&amp;'Amortisation Profiles'!K43,'Covered Bond Series'!$E$5:$E$9)</f>
        <v>1340000000</v>
      </c>
      <c r="N43" s="64">
        <f t="shared" si="1"/>
        <v>42429</v>
      </c>
      <c r="O43" s="82">
        <v>2223089675.9511</v>
      </c>
      <c r="P43" s="82">
        <v>2085320831.62498</v>
      </c>
      <c r="Q43" s="82">
        <v>1889796591.03575</v>
      </c>
      <c r="R43" s="82">
        <v>1592422337.27072</v>
      </c>
    </row>
    <row r="44" spans="11:18" ht="15">
      <c r="K44" s="64">
        <f t="shared" si="0"/>
        <v>42460</v>
      </c>
      <c r="L44" s="82">
        <f>SUMIF('Covered Bond Series'!$G$5:$G$9,"&gt;"&amp;'Amortisation Profiles'!K44,'Covered Bond Series'!$E$5:$E$9)</f>
        <v>1340000000</v>
      </c>
      <c r="N44" s="64">
        <f t="shared" si="1"/>
        <v>42460</v>
      </c>
      <c r="O44" s="82">
        <v>2211019466.9129</v>
      </c>
      <c r="P44" s="82">
        <v>2070509871.83967</v>
      </c>
      <c r="Q44" s="82">
        <v>1871519167.84074</v>
      </c>
      <c r="R44" s="82">
        <v>1569931564.48678</v>
      </c>
    </row>
    <row r="45" spans="11:18" ht="15">
      <c r="K45" s="64">
        <f t="shared" si="0"/>
        <v>42490</v>
      </c>
      <c r="L45" s="82">
        <f>SUMIF('Covered Bond Series'!$G$5:$G$9,"&gt;"&amp;'Amortisation Profiles'!K45,'Covered Bond Series'!$E$5:$E$9)</f>
        <v>1340000000</v>
      </c>
      <c r="N45" s="64">
        <f t="shared" si="1"/>
        <v>42490</v>
      </c>
      <c r="O45" s="82">
        <v>2198951166.8108</v>
      </c>
      <c r="P45" s="82">
        <v>2055744625.99882</v>
      </c>
      <c r="Q45" s="82">
        <v>1853364889.81108</v>
      </c>
      <c r="R45" s="82">
        <v>1547713659.40216</v>
      </c>
    </row>
    <row r="46" spans="11:18" ht="15">
      <c r="K46" s="64">
        <f t="shared" si="0"/>
        <v>42521</v>
      </c>
      <c r="L46" s="82">
        <f>SUMIF('Covered Bond Series'!$G$5:$G$9,"&gt;"&amp;'Amortisation Profiles'!K46,'Covered Bond Series'!$E$5:$E$9)</f>
        <v>1340000000</v>
      </c>
      <c r="N46" s="64">
        <f t="shared" si="1"/>
        <v>42521</v>
      </c>
      <c r="O46" s="82">
        <v>2186838350.2251</v>
      </c>
      <c r="P46" s="82">
        <v>2040981646.87684</v>
      </c>
      <c r="Q46" s="82">
        <v>1835294071.8936</v>
      </c>
      <c r="R46" s="82">
        <v>1525733168.88527</v>
      </c>
    </row>
    <row r="47" spans="11:18" ht="15">
      <c r="K47" s="64">
        <f t="shared" si="0"/>
        <v>42551</v>
      </c>
      <c r="L47" s="82">
        <f>SUMIF('Covered Bond Series'!$G$5:$G$9,"&gt;"&amp;'Amortisation Profiles'!K47,'Covered Bond Series'!$E$5:$E$9)</f>
        <v>1340000000</v>
      </c>
      <c r="N47" s="64">
        <f t="shared" si="1"/>
        <v>42551</v>
      </c>
      <c r="O47" s="82">
        <v>2174594750.2368</v>
      </c>
      <c r="P47" s="82">
        <v>2026140664.01366</v>
      </c>
      <c r="Q47" s="82">
        <v>1817234400.74378</v>
      </c>
      <c r="R47" s="82">
        <v>1503928250.79142</v>
      </c>
    </row>
    <row r="48" spans="11:18" ht="15">
      <c r="K48" s="64">
        <f t="shared" si="0"/>
        <v>42582</v>
      </c>
      <c r="L48" s="82">
        <f>SUMIF('Covered Bond Series'!$G$5:$G$9,"&gt;"&amp;'Amortisation Profiles'!K48,'Covered Bond Series'!$E$5:$E$9)</f>
        <v>1340000000</v>
      </c>
      <c r="N48" s="64">
        <f t="shared" si="1"/>
        <v>42582</v>
      </c>
      <c r="O48" s="82">
        <v>2161614492.328</v>
      </c>
      <c r="P48" s="82">
        <v>2010658621.97307</v>
      </c>
      <c r="Q48" s="82">
        <v>1798682425.87188</v>
      </c>
      <c r="R48" s="82">
        <v>1481882950.11351</v>
      </c>
    </row>
    <row r="49" spans="11:18" ht="15">
      <c r="K49" s="64">
        <f t="shared" si="0"/>
        <v>42613</v>
      </c>
      <c r="L49" s="82">
        <f>SUMIF('Covered Bond Series'!$G$5:$G$9,"&gt;"&amp;'Amortisation Profiles'!K49,'Covered Bond Series'!$E$5:$E$9)</f>
        <v>1340000000</v>
      </c>
      <c r="N49" s="64">
        <f t="shared" si="1"/>
        <v>42613</v>
      </c>
      <c r="O49" s="82">
        <v>2148896140.834</v>
      </c>
      <c r="P49" s="82">
        <v>1995466138.27133</v>
      </c>
      <c r="Q49" s="82">
        <v>1780472652.99517</v>
      </c>
      <c r="R49" s="82">
        <v>1460286128.77419</v>
      </c>
    </row>
    <row r="50" spans="11:18" ht="15">
      <c r="K50" s="64">
        <f t="shared" si="0"/>
        <v>42643</v>
      </c>
      <c r="L50" s="82">
        <f>SUMIF('Covered Bond Series'!$G$5:$G$9,"&gt;"&amp;'Amortisation Profiles'!K50,'Covered Bond Series'!$E$5:$E$9)</f>
        <v>1340000000</v>
      </c>
      <c r="N50" s="64">
        <f t="shared" si="1"/>
        <v>42643</v>
      </c>
      <c r="O50" s="82">
        <v>2136534968.8943</v>
      </c>
      <c r="P50" s="82">
        <v>1980650196.2632</v>
      </c>
      <c r="Q50" s="82">
        <v>1762680178.72432</v>
      </c>
      <c r="R50" s="82">
        <v>1439194249.58633</v>
      </c>
    </row>
    <row r="51" spans="11:18" ht="15">
      <c r="K51" s="64">
        <f t="shared" si="0"/>
        <v>42674</v>
      </c>
      <c r="L51" s="82">
        <f>SUMIF('Covered Bond Series'!$G$5:$G$9,"&gt;"&amp;'Amortisation Profiles'!K51,'Covered Bond Series'!$E$5:$E$9)</f>
        <v>1340000000</v>
      </c>
      <c r="N51" s="64">
        <f t="shared" si="1"/>
        <v>42674</v>
      </c>
      <c r="O51" s="82">
        <v>2124034815.241</v>
      </c>
      <c r="P51" s="82">
        <v>1965749829.1779</v>
      </c>
      <c r="Q51" s="82">
        <v>1744892918.4849</v>
      </c>
      <c r="R51" s="82">
        <v>1418266733.26245</v>
      </c>
    </row>
    <row r="52" spans="11:18" ht="15">
      <c r="K52" s="64">
        <f t="shared" si="0"/>
        <v>42704</v>
      </c>
      <c r="L52" s="82">
        <f>SUMIF('Covered Bond Series'!$G$5:$G$9,"&gt;"&amp;'Amortisation Profiles'!K52,'Covered Bond Series'!$E$5:$E$9)</f>
        <v>1340000000</v>
      </c>
      <c r="N52" s="64">
        <f t="shared" si="1"/>
        <v>42704</v>
      </c>
      <c r="O52" s="82">
        <v>2111793992.1618</v>
      </c>
      <c r="P52" s="82">
        <v>1951133587.70584</v>
      </c>
      <c r="Q52" s="82">
        <v>1727437458.79047</v>
      </c>
      <c r="R52" s="82">
        <v>1397766768.48271</v>
      </c>
    </row>
    <row r="53" spans="11:18" ht="15">
      <c r="K53" s="64">
        <f t="shared" si="0"/>
        <v>42735</v>
      </c>
      <c r="L53" s="82">
        <f>SUMIF('Covered Bond Series'!$G$5:$G$9,"&gt;"&amp;'Amortisation Profiles'!K53,'Covered Bond Series'!$E$5:$E$9)</f>
        <v>1340000000</v>
      </c>
      <c r="N53" s="64">
        <f t="shared" si="1"/>
        <v>42735</v>
      </c>
      <c r="O53" s="82">
        <v>2099709523.522</v>
      </c>
      <c r="P53" s="82">
        <v>1936705174.0504</v>
      </c>
      <c r="Q53" s="82">
        <v>1710226511.1958</v>
      </c>
      <c r="R53" s="82">
        <v>1377619416.28307</v>
      </c>
    </row>
    <row r="54" spans="11:18" ht="15">
      <c r="K54" s="64">
        <f t="shared" si="0"/>
        <v>42766</v>
      </c>
      <c r="L54" s="82">
        <f>SUMIF('Covered Bond Series'!$G$5:$G$9,"&gt;"&amp;'Amortisation Profiles'!K54,'Covered Bond Series'!$E$5:$E$9)</f>
        <v>1340000000</v>
      </c>
      <c r="N54" s="64">
        <f t="shared" si="1"/>
        <v>42766</v>
      </c>
      <c r="O54" s="82">
        <v>2087009224.0907</v>
      </c>
      <c r="P54" s="82">
        <v>1921752712.85172</v>
      </c>
      <c r="Q54" s="82">
        <v>1692631498.77776</v>
      </c>
      <c r="R54" s="82">
        <v>1357316977.65831</v>
      </c>
    </row>
    <row r="55" spans="11:18" ht="15">
      <c r="K55" s="64">
        <f t="shared" si="0"/>
        <v>42794</v>
      </c>
      <c r="L55" s="82">
        <f>SUMIF('Covered Bond Series'!$G$5:$G$9,"&gt;"&amp;'Amortisation Profiles'!K55,'Covered Bond Series'!$E$5:$E$9)</f>
        <v>1340000000</v>
      </c>
      <c r="N55" s="64">
        <f t="shared" si="1"/>
        <v>42794</v>
      </c>
      <c r="O55" s="82">
        <v>2073891311.8959</v>
      </c>
      <c r="P55" s="82">
        <v>1906461178.12472</v>
      </c>
      <c r="Q55" s="82">
        <v>1674818215.71733</v>
      </c>
      <c r="R55" s="82">
        <v>1336994992.10102</v>
      </c>
    </row>
    <row r="56" spans="11:18" ht="15">
      <c r="K56" s="64">
        <f t="shared" si="0"/>
        <v>42825</v>
      </c>
      <c r="L56" s="82">
        <f>SUMIF('Covered Bond Series'!$G$5:$G$9,"&gt;"&amp;'Amortisation Profiles'!K56,'Covered Bond Series'!$E$5:$E$9)</f>
        <v>1340000000</v>
      </c>
      <c r="N56" s="64">
        <f t="shared" si="1"/>
        <v>42825</v>
      </c>
      <c r="O56" s="82">
        <v>2061534135.5033</v>
      </c>
      <c r="P56" s="82">
        <v>1891913793.01306</v>
      </c>
      <c r="Q56" s="82">
        <v>1657737826.38986</v>
      </c>
      <c r="R56" s="82">
        <v>1317410725.28918</v>
      </c>
    </row>
    <row r="57" spans="11:18" ht="15">
      <c r="K57" s="64">
        <f t="shared" si="0"/>
        <v>42855</v>
      </c>
      <c r="L57" s="82">
        <f>SUMIF('Covered Bond Series'!$G$5:$G$9,"&gt;"&amp;'Amortisation Profiles'!K57,'Covered Bond Series'!$E$5:$E$9)</f>
        <v>1340000000</v>
      </c>
      <c r="N57" s="64">
        <f t="shared" si="1"/>
        <v>42855</v>
      </c>
      <c r="O57" s="82">
        <v>2048980263.8889</v>
      </c>
      <c r="P57" s="82">
        <v>1877229748.90279</v>
      </c>
      <c r="Q57" s="82">
        <v>1640615182.04577</v>
      </c>
      <c r="R57" s="82">
        <v>1297942087.62674</v>
      </c>
    </row>
    <row r="58" spans="11:18" ht="15">
      <c r="K58" s="64">
        <f t="shared" si="0"/>
        <v>42886</v>
      </c>
      <c r="L58" s="82">
        <f>SUMIF('Covered Bond Series'!$G$5:$G$9,"&gt;"&amp;'Amortisation Profiles'!K58,'Covered Bond Series'!$E$5:$E$9)</f>
        <v>1340000000</v>
      </c>
      <c r="N58" s="64">
        <f t="shared" si="1"/>
        <v>42886</v>
      </c>
      <c r="O58" s="82">
        <v>2036260687.0076</v>
      </c>
      <c r="P58" s="82">
        <v>1862438191.06015</v>
      </c>
      <c r="Q58" s="82">
        <v>1623476330.68606</v>
      </c>
      <c r="R58" s="82">
        <v>1278609103.80735</v>
      </c>
    </row>
    <row r="59" spans="11:18" ht="15">
      <c r="K59" s="64">
        <f t="shared" si="0"/>
        <v>42916</v>
      </c>
      <c r="L59" s="82">
        <f>SUMIF('Covered Bond Series'!$G$5:$G$9,"&gt;"&amp;'Amortisation Profiles'!K59,'Covered Bond Series'!$E$5:$E$9)</f>
        <v>1340000000</v>
      </c>
      <c r="N59" s="64">
        <f t="shared" si="1"/>
        <v>42916</v>
      </c>
      <c r="O59" s="82">
        <v>2024070795.3744</v>
      </c>
      <c r="P59" s="82">
        <v>1848174740.08185</v>
      </c>
      <c r="Q59" s="82">
        <v>1606874344.75147</v>
      </c>
      <c r="R59" s="82">
        <v>1259844631.88347</v>
      </c>
    </row>
    <row r="60" spans="11:18" ht="15">
      <c r="K60" s="64">
        <f t="shared" si="0"/>
        <v>42947</v>
      </c>
      <c r="L60" s="82">
        <f>SUMIF('Covered Bond Series'!$G$5:$G$9,"&gt;"&amp;'Amortisation Profiles'!K60,'Covered Bond Series'!$E$5:$E$9)</f>
        <v>1340000000</v>
      </c>
      <c r="N60" s="64">
        <f t="shared" si="1"/>
        <v>42947</v>
      </c>
      <c r="O60" s="82">
        <v>2011729385.8338</v>
      </c>
      <c r="P60" s="82">
        <v>1833815887.38897</v>
      </c>
      <c r="Q60" s="82">
        <v>1590264674.32575</v>
      </c>
      <c r="R60" s="82">
        <v>1241217032.45763</v>
      </c>
    </row>
    <row r="61" spans="11:18" ht="15">
      <c r="K61" s="64">
        <f t="shared" si="0"/>
        <v>42978</v>
      </c>
      <c r="L61" s="82">
        <f>SUMIF('Covered Bond Series'!$G$5:$G$9,"&gt;"&amp;'Amortisation Profiles'!K61,'Covered Bond Series'!$E$5:$E$9)</f>
        <v>1340000000</v>
      </c>
      <c r="N61" s="64">
        <f t="shared" si="1"/>
        <v>42978</v>
      </c>
      <c r="O61" s="82">
        <v>1999179697.5597</v>
      </c>
      <c r="P61" s="82">
        <v>1819310573.37117</v>
      </c>
      <c r="Q61" s="82">
        <v>1573603519.7698</v>
      </c>
      <c r="R61" s="82">
        <v>1222691449.8395</v>
      </c>
    </row>
    <row r="62" spans="11:18" ht="15">
      <c r="K62" s="64">
        <f t="shared" si="0"/>
        <v>43008</v>
      </c>
      <c r="L62" s="82">
        <f>SUMIF('Covered Bond Series'!$G$5:$G$9,"&gt;"&amp;'Amortisation Profiles'!K62,'Covered Bond Series'!$E$5:$E$9)</f>
        <v>1340000000</v>
      </c>
      <c r="N62" s="64">
        <f t="shared" si="1"/>
        <v>43008</v>
      </c>
      <c r="O62" s="82">
        <v>1987164093.5815</v>
      </c>
      <c r="P62" s="82">
        <v>1805334084.05361</v>
      </c>
      <c r="Q62" s="82">
        <v>1557474160.77108</v>
      </c>
      <c r="R62" s="82">
        <v>1204718694.74301</v>
      </c>
    </row>
    <row r="63" spans="11:18" ht="15">
      <c r="K63" s="64">
        <f t="shared" si="0"/>
        <v>43039</v>
      </c>
      <c r="L63" s="82">
        <f>SUMIF('Covered Bond Series'!$G$5:$G$9,"&gt;"&amp;'Amortisation Profiles'!K63,'Covered Bond Series'!$E$5:$E$9)</f>
        <v>1340000000</v>
      </c>
      <c r="N63" s="64">
        <f t="shared" si="1"/>
        <v>43039</v>
      </c>
      <c r="O63" s="82">
        <v>1975016407.1206</v>
      </c>
      <c r="P63" s="82">
        <v>1791279672.88321</v>
      </c>
      <c r="Q63" s="82">
        <v>1541350688.3897</v>
      </c>
      <c r="R63" s="82">
        <v>1186887352.14444</v>
      </c>
    </row>
    <row r="64" spans="11:18" ht="15">
      <c r="K64" s="64">
        <f t="shared" si="0"/>
        <v>43069</v>
      </c>
      <c r="L64" s="82">
        <f>SUMIF('Covered Bond Series'!$G$5:$G$9,"&gt;"&amp;'Amortisation Profiles'!K64,'Covered Bond Series'!$E$5:$E$9)</f>
        <v>90000000</v>
      </c>
      <c r="N64" s="64">
        <f t="shared" si="1"/>
        <v>43069</v>
      </c>
      <c r="O64" s="82">
        <v>1962900173.3635</v>
      </c>
      <c r="P64" s="82">
        <v>1777295915.65361</v>
      </c>
      <c r="Q64" s="82">
        <v>1525360866.15229</v>
      </c>
      <c r="R64" s="82">
        <v>1169294435.51297</v>
      </c>
    </row>
    <row r="65" spans="11:18" ht="15">
      <c r="K65" s="64">
        <f t="shared" si="0"/>
        <v>43100</v>
      </c>
      <c r="L65" s="82">
        <f>SUMIF('Covered Bond Series'!$G$5:$G$9,"&gt;"&amp;'Amortisation Profiles'!K65,'Covered Bond Series'!$E$5:$E$9)</f>
        <v>90000000</v>
      </c>
      <c r="N65" s="64">
        <f t="shared" si="1"/>
        <v>43100</v>
      </c>
      <c r="O65" s="82">
        <v>1950716340.7148</v>
      </c>
      <c r="P65" s="82">
        <v>1763293030.40551</v>
      </c>
      <c r="Q65" s="82">
        <v>1509427098.43234</v>
      </c>
      <c r="R65" s="82">
        <v>1151878486.17653</v>
      </c>
    </row>
    <row r="66" spans="11:18" ht="15">
      <c r="K66" s="64">
        <f t="shared" si="0"/>
        <v>43131</v>
      </c>
      <c r="L66" s="82">
        <f>SUMIF('Covered Bond Series'!$G$5:$G$9,"&gt;"&amp;'Amortisation Profiles'!K66,'Covered Bond Series'!$E$5:$E$9)</f>
        <v>90000000</v>
      </c>
      <c r="N66" s="64">
        <f t="shared" si="1"/>
        <v>43131</v>
      </c>
      <c r="O66" s="82">
        <v>1938702724.8877</v>
      </c>
      <c r="P66" s="82">
        <v>1749485829.43045</v>
      </c>
      <c r="Q66" s="82">
        <v>1493732654.51635</v>
      </c>
      <c r="R66" s="82">
        <v>1134777304.56161</v>
      </c>
    </row>
    <row r="67" spans="11:18" ht="15">
      <c r="K67" s="64">
        <f t="shared" si="0"/>
        <v>43159</v>
      </c>
      <c r="L67" s="82">
        <f>SUMIF('Covered Bond Series'!$G$5:$G$9,"&gt;"&amp;'Amortisation Profiles'!K67,'Covered Bond Series'!$E$5:$E$9)</f>
        <v>90000000</v>
      </c>
      <c r="N67" s="64">
        <f t="shared" si="1"/>
        <v>43159</v>
      </c>
      <c r="O67" s="82">
        <v>1926675950.3238</v>
      </c>
      <c r="P67" s="82">
        <v>1735708236.4356</v>
      </c>
      <c r="Q67" s="82">
        <v>1478134537.30086</v>
      </c>
      <c r="R67" s="82">
        <v>1117879450.67085</v>
      </c>
    </row>
    <row r="68" spans="11:18" ht="15">
      <c r="K68" s="64">
        <f t="shared" si="0"/>
        <v>43190</v>
      </c>
      <c r="L68" s="82">
        <f>SUMIF('Covered Bond Series'!$G$5:$G$9,"&gt;"&amp;'Amortisation Profiles'!K68,'Covered Bond Series'!$E$5:$E$9)</f>
        <v>90000000</v>
      </c>
      <c r="N68" s="64">
        <f t="shared" si="1"/>
        <v>43190</v>
      </c>
      <c r="O68" s="82">
        <v>1914543845.3425</v>
      </c>
      <c r="P68" s="82">
        <v>1721877313.32162</v>
      </c>
      <c r="Q68" s="82">
        <v>1462561841.77836</v>
      </c>
      <c r="R68" s="82">
        <v>1101129730.5875</v>
      </c>
    </row>
    <row r="69" spans="11:18" ht="15">
      <c r="K69" s="64">
        <f t="shared" si="0"/>
        <v>43220</v>
      </c>
      <c r="L69" s="82">
        <f>SUMIF('Covered Bond Series'!$G$5:$G$9,"&gt;"&amp;'Amortisation Profiles'!K69,'Covered Bond Series'!$E$5:$E$9)</f>
        <v>90000000</v>
      </c>
      <c r="N69" s="64">
        <f t="shared" si="1"/>
        <v>43220</v>
      </c>
      <c r="O69" s="82">
        <v>1902546987.0197</v>
      </c>
      <c r="P69" s="82">
        <v>1708209441.50905</v>
      </c>
      <c r="Q69" s="82">
        <v>1447197977.76407</v>
      </c>
      <c r="R69" s="82">
        <v>1084664531.11295</v>
      </c>
    </row>
    <row r="70" spans="11:18" ht="15">
      <c r="K70" s="64">
        <f t="shared" si="0"/>
        <v>43251</v>
      </c>
      <c r="L70" s="82">
        <f>SUMIF('Covered Bond Series'!$G$5:$G$9,"&gt;"&amp;'Amortisation Profiles'!K70,'Covered Bond Series'!$E$5:$E$9)</f>
        <v>90000000</v>
      </c>
      <c r="N70" s="64">
        <f t="shared" si="1"/>
        <v>43251</v>
      </c>
      <c r="O70" s="82">
        <v>1890466257.9587</v>
      </c>
      <c r="P70" s="82">
        <v>1694507503.36965</v>
      </c>
      <c r="Q70" s="82">
        <v>1431875043.73215</v>
      </c>
      <c r="R70" s="82">
        <v>1068355655.51689</v>
      </c>
    </row>
    <row r="71" spans="11:18" ht="15">
      <c r="K71" s="64">
        <f aca="true" t="shared" si="2" ref="K71:K134">EOMONTH(K70,1)</f>
        <v>43281</v>
      </c>
      <c r="L71" s="82">
        <f>SUMIF('Covered Bond Series'!$G$5:$G$9,"&gt;"&amp;'Amortisation Profiles'!K71,'Covered Bond Series'!$E$5:$E$9)</f>
        <v>90000000</v>
      </c>
      <c r="N71" s="64">
        <f aca="true" t="shared" si="3" ref="N71:N134">EOMONTH(N70,1)</f>
        <v>43281</v>
      </c>
      <c r="O71" s="82">
        <v>1878242890.4843</v>
      </c>
      <c r="P71" s="82">
        <v>1680719191.74227</v>
      </c>
      <c r="Q71" s="82">
        <v>1416548917.74304</v>
      </c>
      <c r="R71" s="82">
        <v>1052169122.69989</v>
      </c>
    </row>
    <row r="72" spans="11:18" ht="15">
      <c r="K72" s="64">
        <f t="shared" si="2"/>
        <v>43312</v>
      </c>
      <c r="L72" s="82">
        <f>SUMIF('Covered Bond Series'!$G$5:$G$9,"&gt;"&amp;'Amortisation Profiles'!K72,'Covered Bond Series'!$E$5:$E$9)</f>
        <v>90000000</v>
      </c>
      <c r="N72" s="64">
        <f t="shared" si="3"/>
        <v>43312</v>
      </c>
      <c r="O72" s="82">
        <v>1866053416.0543</v>
      </c>
      <c r="P72" s="82">
        <v>1667002750.28563</v>
      </c>
      <c r="Q72" s="82">
        <v>1401352936.66652</v>
      </c>
      <c r="R72" s="82">
        <v>1036202762.62293</v>
      </c>
    </row>
    <row r="73" spans="11:18" ht="15">
      <c r="K73" s="64">
        <f t="shared" si="2"/>
        <v>43343</v>
      </c>
      <c r="L73" s="82">
        <f>SUMIF('Covered Bond Series'!$G$5:$G$9,"&gt;"&amp;'Amortisation Profiles'!K73,'Covered Bond Series'!$E$5:$E$9)</f>
        <v>90000000</v>
      </c>
      <c r="N73" s="64">
        <f t="shared" si="3"/>
        <v>43343</v>
      </c>
      <c r="O73" s="82">
        <v>1854009590.1808</v>
      </c>
      <c r="P73" s="82">
        <v>1653457592.48538</v>
      </c>
      <c r="Q73" s="82">
        <v>1386369727.35985</v>
      </c>
      <c r="R73" s="82">
        <v>1020515315.49151</v>
      </c>
    </row>
    <row r="74" spans="11:18" ht="15">
      <c r="K74" s="64">
        <f t="shared" si="2"/>
        <v>43373</v>
      </c>
      <c r="L74" s="82">
        <f>SUMIF('Covered Bond Series'!$G$5:$G$9,"&gt;"&amp;'Amortisation Profiles'!K74,'Covered Bond Series'!$E$5:$E$9)</f>
        <v>90000000</v>
      </c>
      <c r="N74" s="64">
        <f t="shared" si="3"/>
        <v>43373</v>
      </c>
      <c r="O74" s="82">
        <v>1841791176.3882</v>
      </c>
      <c r="P74" s="82">
        <v>1639797847.4555</v>
      </c>
      <c r="Q74" s="82">
        <v>1371358844.46125</v>
      </c>
      <c r="R74" s="82">
        <v>1004927693.70937</v>
      </c>
    </row>
    <row r="75" spans="11:18" ht="15">
      <c r="K75" s="64">
        <f t="shared" si="2"/>
        <v>43404</v>
      </c>
      <c r="L75" s="82">
        <f>SUMIF('Covered Bond Series'!$G$5:$G$9,"&gt;"&amp;'Amortisation Profiles'!K75,'Covered Bond Series'!$E$5:$E$9)</f>
        <v>90000000</v>
      </c>
      <c r="N75" s="64">
        <f t="shared" si="3"/>
        <v>43404</v>
      </c>
      <c r="O75" s="82">
        <v>1829581858.3351</v>
      </c>
      <c r="P75" s="82">
        <v>1626187462.69381</v>
      </c>
      <c r="Q75" s="82">
        <v>1356457535.23225</v>
      </c>
      <c r="R75" s="82">
        <v>989539529.70358</v>
      </c>
    </row>
    <row r="76" spans="11:18" ht="15">
      <c r="K76" s="64">
        <f t="shared" si="2"/>
        <v>43434</v>
      </c>
      <c r="L76" s="82">
        <f>SUMIF('Covered Bond Series'!$G$5:$G$9,"&gt;"&amp;'Amortisation Profiles'!K76,'Covered Bond Series'!$E$5:$E$9)</f>
        <v>90000000</v>
      </c>
      <c r="N76" s="64">
        <f t="shared" si="3"/>
        <v>43434</v>
      </c>
      <c r="O76" s="82">
        <v>1817457219.1415</v>
      </c>
      <c r="P76" s="82">
        <v>1612693367.01523</v>
      </c>
      <c r="Q76" s="82">
        <v>1341720909.6711</v>
      </c>
      <c r="R76" s="82">
        <v>974389006.080322</v>
      </c>
    </row>
    <row r="77" spans="11:18" ht="15">
      <c r="K77" s="64">
        <f t="shared" si="2"/>
        <v>43465</v>
      </c>
      <c r="L77" s="82">
        <f>SUMIF('Covered Bond Series'!$G$5:$G$9,"&gt;"&amp;'Amortisation Profiles'!K77,'Covered Bond Series'!$E$5:$E$9)</f>
        <v>90000000</v>
      </c>
      <c r="N77" s="64">
        <f t="shared" si="3"/>
        <v>43465</v>
      </c>
      <c r="O77" s="82">
        <v>1805487111.6193</v>
      </c>
      <c r="P77" s="82">
        <v>1599376958.48996</v>
      </c>
      <c r="Q77" s="82">
        <v>1327198913.39051</v>
      </c>
      <c r="R77" s="82">
        <v>959509870.669611</v>
      </c>
    </row>
    <row r="78" spans="11:18" ht="15">
      <c r="K78" s="64">
        <f t="shared" si="2"/>
        <v>43496</v>
      </c>
      <c r="L78" s="82">
        <f>SUMIF('Covered Bond Series'!$G$5:$G$9,"&gt;"&amp;'Amortisation Profiles'!K78,'Covered Bond Series'!$E$5:$E$9)</f>
        <v>90000000</v>
      </c>
      <c r="N78" s="64">
        <f t="shared" si="3"/>
        <v>43496</v>
      </c>
      <c r="O78" s="82">
        <v>1793475278.064</v>
      </c>
      <c r="P78" s="82">
        <v>1586063884.92094</v>
      </c>
      <c r="Q78" s="82">
        <v>1312745847.91179</v>
      </c>
      <c r="R78" s="82">
        <v>944794431.443646</v>
      </c>
    </row>
    <row r="79" spans="11:18" ht="15">
      <c r="K79" s="64">
        <f t="shared" si="2"/>
        <v>43524</v>
      </c>
      <c r="L79" s="82">
        <f>SUMIF('Covered Bond Series'!$G$5:$G$9,"&gt;"&amp;'Amortisation Profiles'!K79,'Covered Bond Series'!$E$5:$E$9)</f>
        <v>90000000</v>
      </c>
      <c r="N79" s="64">
        <f t="shared" si="3"/>
        <v>43524</v>
      </c>
      <c r="O79" s="82">
        <v>1781516995.1611</v>
      </c>
      <c r="P79" s="82">
        <v>1572838353.46071</v>
      </c>
      <c r="Q79" s="82">
        <v>1298430959.33389</v>
      </c>
      <c r="R79" s="82">
        <v>930290906.628892</v>
      </c>
    </row>
    <row r="80" spans="11:18" ht="15">
      <c r="K80" s="64">
        <f t="shared" si="2"/>
        <v>43555</v>
      </c>
      <c r="L80" s="82">
        <f>SUMIF('Covered Bond Series'!$G$5:$G$9,"&gt;"&amp;'Amortisation Profiles'!K80,'Covered Bond Series'!$E$5:$E$9)</f>
        <v>90000000</v>
      </c>
      <c r="N80" s="64">
        <f t="shared" si="3"/>
        <v>43555</v>
      </c>
      <c r="O80" s="82">
        <v>1769559196.8683</v>
      </c>
      <c r="P80" s="82">
        <v>1559653255.01251</v>
      </c>
      <c r="Q80" s="82">
        <v>1284214655.85149</v>
      </c>
      <c r="R80" s="82">
        <v>915969002.988855</v>
      </c>
    </row>
    <row r="81" spans="11:18" ht="15">
      <c r="K81" s="64">
        <f t="shared" si="2"/>
        <v>43585</v>
      </c>
      <c r="L81" s="82">
        <f>SUMIF('Covered Bond Series'!$G$5:$G$9,"&gt;"&amp;'Amortisation Profiles'!K81,'Covered Bond Series'!$E$5:$E$9)</f>
        <v>90000000</v>
      </c>
      <c r="N81" s="64">
        <f t="shared" si="3"/>
        <v>43585</v>
      </c>
      <c r="O81" s="82">
        <v>1757584705.65</v>
      </c>
      <c r="P81" s="82">
        <v>1546493377.92846</v>
      </c>
      <c r="Q81" s="82">
        <v>1270083940.27067</v>
      </c>
      <c r="R81" s="82">
        <v>901817839.080811</v>
      </c>
    </row>
    <row r="82" spans="11:18" ht="15">
      <c r="K82" s="64">
        <f t="shared" si="2"/>
        <v>43616</v>
      </c>
      <c r="L82" s="82">
        <f>SUMIF('Covered Bond Series'!$G$5:$G$9,"&gt;"&amp;'Amortisation Profiles'!K82,'Covered Bond Series'!$E$5:$E$9)</f>
        <v>90000000</v>
      </c>
      <c r="N82" s="64">
        <f t="shared" si="3"/>
        <v>43616</v>
      </c>
      <c r="O82" s="82">
        <v>1745504027.5847</v>
      </c>
      <c r="P82" s="82">
        <v>1533280084.98961</v>
      </c>
      <c r="Q82" s="82">
        <v>1255973998.36966</v>
      </c>
      <c r="R82" s="82">
        <v>887790080.823761</v>
      </c>
    </row>
    <row r="83" spans="11:18" ht="15">
      <c r="K83" s="64">
        <f t="shared" si="2"/>
        <v>43646</v>
      </c>
      <c r="L83" s="82">
        <f>SUMIF('Covered Bond Series'!$G$5:$G$9,"&gt;"&amp;'Amortisation Profiles'!K83,'Covered Bond Series'!$E$5:$E$9)</f>
        <v>90000000</v>
      </c>
      <c r="N83" s="64">
        <f t="shared" si="3"/>
        <v>43646</v>
      </c>
      <c r="O83" s="82">
        <v>1733583635.2292</v>
      </c>
      <c r="P83" s="82">
        <v>1520247428.87515</v>
      </c>
      <c r="Q83" s="82">
        <v>1242076158.43602</v>
      </c>
      <c r="R83" s="82">
        <v>874019471.03943</v>
      </c>
    </row>
    <row r="84" spans="11:18" ht="15">
      <c r="K84" s="64">
        <f t="shared" si="2"/>
        <v>43677</v>
      </c>
      <c r="L84" s="82">
        <f>SUMIF('Covered Bond Series'!$G$5:$G$9,"&gt;"&amp;'Amortisation Profiles'!K84,'Covered Bond Series'!$E$5:$E$9)</f>
        <v>90000000</v>
      </c>
      <c r="N84" s="64">
        <f t="shared" si="3"/>
        <v>43677</v>
      </c>
      <c r="O84" s="82">
        <v>1721604482.1504</v>
      </c>
      <c r="P84" s="82">
        <v>1507202837.60635</v>
      </c>
      <c r="Q84" s="82">
        <v>1228232105.34884</v>
      </c>
      <c r="R84" s="82">
        <v>860392407.963411</v>
      </c>
    </row>
    <row r="85" spans="11:18" ht="15">
      <c r="K85" s="64">
        <f t="shared" si="2"/>
        <v>43708</v>
      </c>
      <c r="L85" s="82">
        <f>SUMIF('Covered Bond Series'!$G$5:$G$9,"&gt;"&amp;'Amortisation Profiles'!K85,'Covered Bond Series'!$E$5:$E$9)</f>
        <v>90000000</v>
      </c>
      <c r="N85" s="64">
        <f t="shared" si="3"/>
        <v>43708</v>
      </c>
      <c r="O85" s="82">
        <v>1709734038.3653</v>
      </c>
      <c r="P85" s="82">
        <v>1494292840.68934</v>
      </c>
      <c r="Q85" s="82">
        <v>1214560778.9775</v>
      </c>
      <c r="R85" s="82">
        <v>846990654.028858</v>
      </c>
    </row>
    <row r="86" spans="11:18" ht="15">
      <c r="K86" s="64">
        <f t="shared" si="2"/>
        <v>43738</v>
      </c>
      <c r="L86" s="82">
        <f>SUMIF('Covered Bond Series'!$G$5:$G$9,"&gt;"&amp;'Amortisation Profiles'!K86,'Covered Bond Series'!$E$5:$E$9)</f>
        <v>90000000</v>
      </c>
      <c r="N86" s="64">
        <f t="shared" si="3"/>
        <v>43738</v>
      </c>
      <c r="O86" s="82">
        <v>1697857531.0447</v>
      </c>
      <c r="P86" s="82">
        <v>1481416720.97759</v>
      </c>
      <c r="Q86" s="82">
        <v>1200979443.0873</v>
      </c>
      <c r="R86" s="82">
        <v>833754481.337996</v>
      </c>
    </row>
    <row r="87" spans="11:18" ht="15">
      <c r="K87" s="64">
        <f t="shared" si="2"/>
        <v>43769</v>
      </c>
      <c r="L87" s="82">
        <f>SUMIF('Covered Bond Series'!$G$5:$G$9,"&gt;"&amp;'Amortisation Profiles'!K87,'Covered Bond Series'!$E$5:$E$9)</f>
        <v>90000000</v>
      </c>
      <c r="N87" s="64">
        <f t="shared" si="3"/>
        <v>43769</v>
      </c>
      <c r="O87" s="82">
        <v>1685928573.1837</v>
      </c>
      <c r="P87" s="82">
        <v>1468534006.33873</v>
      </c>
      <c r="Q87" s="82">
        <v>1187454925.73883</v>
      </c>
      <c r="R87" s="82">
        <v>820659465.056058</v>
      </c>
    </row>
    <row r="88" spans="11:18" ht="15">
      <c r="K88" s="64">
        <f t="shared" si="2"/>
        <v>43799</v>
      </c>
      <c r="L88" s="82">
        <f>SUMIF('Covered Bond Series'!$G$5:$G$9,"&gt;"&amp;'Amortisation Profiles'!K88,'Covered Bond Series'!$E$5:$E$9)</f>
        <v>90000000</v>
      </c>
      <c r="N88" s="64">
        <f t="shared" si="3"/>
        <v>43799</v>
      </c>
      <c r="O88" s="82">
        <v>1674132319.6172</v>
      </c>
      <c r="P88" s="82">
        <v>1455805837.6118</v>
      </c>
      <c r="Q88" s="82">
        <v>1174117001.4918</v>
      </c>
      <c r="R88" s="82">
        <v>807793711.776775</v>
      </c>
    </row>
    <row r="89" spans="11:18" ht="15">
      <c r="K89" s="64">
        <f t="shared" si="2"/>
        <v>43830</v>
      </c>
      <c r="L89" s="82">
        <f>SUMIF('Covered Bond Series'!$G$5:$G$9,"&gt;"&amp;'Amortisation Profiles'!K89,'Covered Bond Series'!$E$5:$E$9)</f>
        <v>90000000</v>
      </c>
      <c r="N89" s="64">
        <f t="shared" si="3"/>
        <v>43830</v>
      </c>
      <c r="O89" s="82">
        <v>1662369935.246</v>
      </c>
      <c r="P89" s="82">
        <v>1443145737.86988</v>
      </c>
      <c r="Q89" s="82">
        <v>1160894905.58294</v>
      </c>
      <c r="R89" s="82">
        <v>795106381.694253</v>
      </c>
    </row>
    <row r="90" spans="11:18" ht="15">
      <c r="K90" s="64">
        <f t="shared" si="2"/>
        <v>43861</v>
      </c>
      <c r="L90" s="82">
        <f>SUMIF('Covered Bond Series'!$G$5:$G$9,"&gt;"&amp;'Amortisation Profiles'!K90,'Covered Bond Series'!$E$5:$E$9)</f>
        <v>90000000</v>
      </c>
      <c r="N90" s="64">
        <f t="shared" si="3"/>
        <v>43861</v>
      </c>
      <c r="O90" s="82">
        <v>1650626799.2007</v>
      </c>
      <c r="P90" s="82">
        <v>1430540793.50024</v>
      </c>
      <c r="Q90" s="82">
        <v>1147777627.6979</v>
      </c>
      <c r="R90" s="82">
        <v>782588265.212001</v>
      </c>
    </row>
    <row r="91" spans="11:18" ht="15">
      <c r="K91" s="64">
        <f t="shared" si="2"/>
        <v>43890</v>
      </c>
      <c r="L91" s="82">
        <f>SUMIF('Covered Bond Series'!$G$5:$G$9,"&gt;"&amp;'Amortisation Profiles'!K91,'Covered Bond Series'!$E$5:$E$9)</f>
        <v>90000000</v>
      </c>
      <c r="N91" s="64">
        <f t="shared" si="3"/>
        <v>43890</v>
      </c>
      <c r="O91" s="82">
        <v>1638832593.8079</v>
      </c>
      <c r="P91" s="82">
        <v>1417929985.91616</v>
      </c>
      <c r="Q91" s="82">
        <v>1134715768.72313</v>
      </c>
      <c r="R91" s="82">
        <v>770204245.262288</v>
      </c>
    </row>
    <row r="92" spans="11:18" ht="15">
      <c r="K92" s="64">
        <f t="shared" si="2"/>
        <v>43921</v>
      </c>
      <c r="L92" s="82">
        <f>SUMIF('Covered Bond Series'!$G$5:$G$9,"&gt;"&amp;'Amortisation Profiles'!K92,'Covered Bond Series'!$E$5:$E$9)</f>
        <v>90000000</v>
      </c>
      <c r="N92" s="64">
        <f t="shared" si="3"/>
        <v>43921</v>
      </c>
      <c r="O92" s="82">
        <v>1627039798.6054</v>
      </c>
      <c r="P92" s="82">
        <v>1405358775.99446</v>
      </c>
      <c r="Q92" s="82">
        <v>1121745425.50565</v>
      </c>
      <c r="R92" s="82">
        <v>757977592.886514</v>
      </c>
    </row>
    <row r="93" spans="11:18" ht="15">
      <c r="K93" s="64">
        <f t="shared" si="2"/>
        <v>43951</v>
      </c>
      <c r="L93" s="82">
        <f>SUMIF('Covered Bond Series'!$G$5:$G$9,"&gt;"&amp;'Amortisation Profiles'!K93,'Covered Bond Series'!$E$5:$E$9)</f>
        <v>90000000</v>
      </c>
      <c r="N93" s="64">
        <f t="shared" si="3"/>
        <v>43951</v>
      </c>
      <c r="O93" s="82">
        <v>1615342956.0342</v>
      </c>
      <c r="P93" s="82">
        <v>1392908586.56916</v>
      </c>
      <c r="Q93" s="82">
        <v>1108930955.67632</v>
      </c>
      <c r="R93" s="82">
        <v>745950155.719919</v>
      </c>
    </row>
    <row r="94" spans="11:18" ht="15">
      <c r="K94" s="64">
        <f t="shared" si="2"/>
        <v>43982</v>
      </c>
      <c r="L94" s="82">
        <f>SUMIF('Covered Bond Series'!$G$5:$G$9,"&gt;"&amp;'Amortisation Profiles'!K94,'Covered Bond Series'!$E$5:$E$9)</f>
        <v>90000000</v>
      </c>
      <c r="N94" s="64">
        <f t="shared" si="3"/>
        <v>43982</v>
      </c>
      <c r="O94" s="82">
        <v>1603696392.6989</v>
      </c>
      <c r="P94" s="82">
        <v>1380539589.20676</v>
      </c>
      <c r="Q94" s="82">
        <v>1096239763.10809</v>
      </c>
      <c r="R94" s="82">
        <v>734098090.541375</v>
      </c>
    </row>
    <row r="95" spans="11:18" ht="15">
      <c r="K95" s="64">
        <f t="shared" si="2"/>
        <v>44012</v>
      </c>
      <c r="L95" s="82">
        <f>SUMIF('Covered Bond Series'!$G$5:$G$9,"&gt;"&amp;'Amortisation Profiles'!K95,'Covered Bond Series'!$E$5:$E$9)</f>
        <v>90000000</v>
      </c>
      <c r="N95" s="64">
        <f t="shared" si="3"/>
        <v>44012</v>
      </c>
      <c r="O95" s="82">
        <v>1591949292.84</v>
      </c>
      <c r="P95" s="82">
        <v>1368121862.23031</v>
      </c>
      <c r="Q95" s="82">
        <v>1083568228.40656</v>
      </c>
      <c r="R95" s="82">
        <v>722350616.49469</v>
      </c>
    </row>
    <row r="96" spans="11:18" ht="15">
      <c r="K96" s="64">
        <f t="shared" si="2"/>
        <v>44043</v>
      </c>
      <c r="L96" s="82">
        <f>SUMIF('Covered Bond Series'!$G$5:$G$9,"&gt;"&amp;'Amortisation Profiles'!K96,'Covered Bond Series'!$E$5:$E$9)</f>
        <v>90000000</v>
      </c>
      <c r="N96" s="64">
        <f t="shared" si="3"/>
        <v>44043</v>
      </c>
      <c r="O96" s="82">
        <v>1580064230.4627</v>
      </c>
      <c r="P96" s="82">
        <v>1355623640.27172</v>
      </c>
      <c r="Q96" s="82">
        <v>1070891341.55029</v>
      </c>
      <c r="R96" s="82">
        <v>710690376.526903</v>
      </c>
    </row>
    <row r="97" spans="11:18" ht="15">
      <c r="K97" s="64">
        <f t="shared" si="2"/>
        <v>44074</v>
      </c>
      <c r="L97" s="82">
        <f>SUMIF('Covered Bond Series'!$G$5:$G$9,"&gt;"&amp;'Amortisation Profiles'!K97,'Covered Bond Series'!$E$5:$E$9)</f>
        <v>90000000</v>
      </c>
      <c r="N97" s="64">
        <f t="shared" si="3"/>
        <v>44074</v>
      </c>
      <c r="O97" s="82">
        <v>1568061974.8923</v>
      </c>
      <c r="P97" s="82">
        <v>1343063216.13199</v>
      </c>
      <c r="Q97" s="82">
        <v>1058223794.03469</v>
      </c>
      <c r="R97" s="82">
        <v>699126545.379372</v>
      </c>
    </row>
    <row r="98" spans="11:18" ht="15">
      <c r="K98" s="64">
        <f t="shared" si="2"/>
        <v>44104</v>
      </c>
      <c r="L98" s="82">
        <f>SUMIF('Covered Bond Series'!$G$5:$G$9,"&gt;"&amp;'Amortisation Profiles'!K98,'Covered Bond Series'!$E$5:$E$9)</f>
        <v>90000000</v>
      </c>
      <c r="N98" s="64">
        <f t="shared" si="3"/>
        <v>44104</v>
      </c>
      <c r="O98" s="82">
        <v>1556203805.9362</v>
      </c>
      <c r="P98" s="82">
        <v>1330664417.74287</v>
      </c>
      <c r="Q98" s="82">
        <v>1045741650.88094</v>
      </c>
      <c r="R98" s="82">
        <v>687774259.74953</v>
      </c>
    </row>
    <row r="99" spans="11:18" ht="15">
      <c r="K99" s="64">
        <f t="shared" si="2"/>
        <v>44135</v>
      </c>
      <c r="L99" s="82">
        <f>SUMIF('Covered Bond Series'!$G$5:$G$9,"&gt;"&amp;'Amortisation Profiles'!K99,'Covered Bond Series'!$E$5:$E$9)</f>
        <v>90000000</v>
      </c>
      <c r="N99" s="64">
        <f t="shared" si="3"/>
        <v>44135</v>
      </c>
      <c r="O99" s="82">
        <v>1544535762.0944</v>
      </c>
      <c r="P99" s="82">
        <v>1318465829.71936</v>
      </c>
      <c r="Q99" s="82">
        <v>1033473950.86638</v>
      </c>
      <c r="R99" s="82">
        <v>676650316.434972</v>
      </c>
    </row>
    <row r="100" spans="11:18" ht="15">
      <c r="K100" s="64">
        <f t="shared" si="2"/>
        <v>44165</v>
      </c>
      <c r="L100" s="82">
        <f>SUMIF('Covered Bond Series'!$G$5:$G$9,"&gt;"&amp;'Amortisation Profiles'!K100,'Covered Bond Series'!$E$5:$E$9)</f>
        <v>90000000</v>
      </c>
      <c r="N100" s="64">
        <f t="shared" si="3"/>
        <v>44165</v>
      </c>
      <c r="O100" s="82">
        <v>1531722404.8908</v>
      </c>
      <c r="P100" s="82">
        <v>1305328483.14157</v>
      </c>
      <c r="Q100" s="82">
        <v>1020528799.009</v>
      </c>
      <c r="R100" s="82">
        <v>665170930.388938</v>
      </c>
    </row>
    <row r="101" spans="11:18" ht="15">
      <c r="K101" s="64">
        <f t="shared" si="2"/>
        <v>44196</v>
      </c>
      <c r="L101" s="82">
        <f>SUMIF('Covered Bond Series'!$G$5:$G$9,"&gt;"&amp;'Amortisation Profiles'!K101,'Covered Bond Series'!$E$5:$E$9)</f>
        <v>90000000</v>
      </c>
      <c r="N101" s="64">
        <f t="shared" si="3"/>
        <v>44196</v>
      </c>
      <c r="O101" s="82">
        <v>1520275414.7592</v>
      </c>
      <c r="P101" s="82">
        <v>1293394059.0043</v>
      </c>
      <c r="Q101" s="82">
        <v>1008581751.13467</v>
      </c>
      <c r="R101" s="82">
        <v>654428711.662159</v>
      </c>
    </row>
    <row r="102" spans="11:18" ht="15">
      <c r="K102" s="64">
        <f t="shared" si="2"/>
        <v>44227</v>
      </c>
      <c r="L102" s="82">
        <f>SUMIF('Covered Bond Series'!$G$5:$G$9,"&gt;"&amp;'Amortisation Profiles'!K102,'Covered Bond Series'!$E$5:$E$9)</f>
        <v>90000000</v>
      </c>
      <c r="N102" s="64">
        <f t="shared" si="3"/>
        <v>44227</v>
      </c>
      <c r="O102" s="82">
        <v>1508140079.2105</v>
      </c>
      <c r="P102" s="82">
        <v>1280911457.82804</v>
      </c>
      <c r="Q102" s="82">
        <v>996263337.770241</v>
      </c>
      <c r="R102" s="82">
        <v>643529751.231655</v>
      </c>
    </row>
    <row r="103" spans="11:18" ht="15">
      <c r="K103" s="64">
        <f t="shared" si="2"/>
        <v>44255</v>
      </c>
      <c r="L103" s="82">
        <f>SUMIF('Covered Bond Series'!$G$5:$G$9,"&gt;"&amp;'Amortisation Profiles'!K103,'Covered Bond Series'!$E$5:$E$9)</f>
        <v>90000000</v>
      </c>
      <c r="N103" s="64">
        <f t="shared" si="3"/>
        <v>44255</v>
      </c>
      <c r="O103" s="82">
        <v>1496832557.0284</v>
      </c>
      <c r="P103" s="82">
        <v>1269169097.00657</v>
      </c>
      <c r="Q103" s="82">
        <v>984576173.255507</v>
      </c>
      <c r="R103" s="82">
        <v>633121475.507749</v>
      </c>
    </row>
    <row r="104" spans="11:18" ht="15">
      <c r="K104" s="64">
        <f t="shared" si="2"/>
        <v>44286</v>
      </c>
      <c r="L104" s="82">
        <f>SUMIF('Covered Bond Series'!$G$5:$G$9,"&gt;"&amp;'Amortisation Profiles'!K104,'Covered Bond Series'!$E$5:$E$9)</f>
        <v>90000000</v>
      </c>
      <c r="N104" s="64">
        <f t="shared" si="3"/>
        <v>44286</v>
      </c>
      <c r="O104" s="82">
        <v>1485233106.1136</v>
      </c>
      <c r="P104" s="82">
        <v>1257215506.52901</v>
      </c>
      <c r="Q104" s="82">
        <v>972779378.782865</v>
      </c>
      <c r="R104" s="82">
        <v>622723595.360766</v>
      </c>
    </row>
    <row r="105" spans="11:18" ht="15">
      <c r="K105" s="64">
        <f t="shared" si="2"/>
        <v>44316</v>
      </c>
      <c r="L105" s="82">
        <f>SUMIF('Covered Bond Series'!$G$5:$G$9,"&gt;"&amp;'Amortisation Profiles'!K105,'Covered Bond Series'!$E$5:$E$9)</f>
        <v>90000000</v>
      </c>
      <c r="N105" s="64">
        <f t="shared" si="3"/>
        <v>44316</v>
      </c>
      <c r="O105" s="82">
        <v>1471874712.2521</v>
      </c>
      <c r="P105" s="82">
        <v>1243812139.74089</v>
      </c>
      <c r="Q105" s="82">
        <v>959918169.841475</v>
      </c>
      <c r="R105" s="82">
        <v>611728084.936783</v>
      </c>
    </row>
    <row r="106" spans="11:18" ht="15">
      <c r="K106" s="64">
        <f t="shared" si="2"/>
        <v>44347</v>
      </c>
      <c r="L106" s="82">
        <f>SUMIF('Covered Bond Series'!$G$5:$G$9,"&gt;"&amp;'Amortisation Profiles'!K106,'Covered Bond Series'!$E$5:$E$9)</f>
        <v>90000000</v>
      </c>
      <c r="N106" s="64">
        <f t="shared" si="3"/>
        <v>44347</v>
      </c>
      <c r="O106" s="82">
        <v>1460595883.6415</v>
      </c>
      <c r="P106" s="82">
        <v>1232204694.7497</v>
      </c>
      <c r="Q106" s="82">
        <v>948499431.050501</v>
      </c>
      <c r="R106" s="82">
        <v>601733962.492191</v>
      </c>
    </row>
    <row r="107" spans="11:18" ht="15">
      <c r="K107" s="64">
        <f t="shared" si="2"/>
        <v>44377</v>
      </c>
      <c r="L107" s="82">
        <f>SUMIF('Covered Bond Series'!$G$5:$G$9,"&gt;"&amp;'Amortisation Profiles'!K107,'Covered Bond Series'!$E$5:$E$9)</f>
        <v>90000000</v>
      </c>
      <c r="N107" s="64">
        <f t="shared" si="3"/>
        <v>44377</v>
      </c>
      <c r="O107" s="82">
        <v>1449070826.6683</v>
      </c>
      <c r="P107" s="82">
        <v>1220425404.20758</v>
      </c>
      <c r="Q107" s="82">
        <v>937001420.960766</v>
      </c>
      <c r="R107" s="82">
        <v>591767269.435862</v>
      </c>
    </row>
    <row r="108" spans="11:18" ht="15">
      <c r="K108" s="64">
        <f t="shared" si="2"/>
        <v>44408</v>
      </c>
      <c r="L108" s="82">
        <f>SUMIF('Covered Bond Series'!$G$5:$G$9,"&gt;"&amp;'Amortisation Profiles'!K108,'Covered Bond Series'!$E$5:$E$9)</f>
        <v>90000000</v>
      </c>
      <c r="N108" s="64">
        <f t="shared" si="3"/>
        <v>44408</v>
      </c>
      <c r="O108" s="82">
        <v>1437240881.4071</v>
      </c>
      <c r="P108" s="82">
        <v>1208425906.95959</v>
      </c>
      <c r="Q108" s="82">
        <v>925387933.067587</v>
      </c>
      <c r="R108" s="82">
        <v>581805423.8714</v>
      </c>
    </row>
    <row r="109" spans="11:18" ht="15">
      <c r="K109" s="64">
        <f t="shared" si="2"/>
        <v>44439</v>
      </c>
      <c r="L109" s="82">
        <f>SUMIF('Covered Bond Series'!$G$5:$G$9,"&gt;"&amp;'Amortisation Profiles'!K109,'Covered Bond Series'!$E$5:$E$9)</f>
        <v>90000000</v>
      </c>
      <c r="N109" s="64">
        <f t="shared" si="3"/>
        <v>44439</v>
      </c>
      <c r="O109" s="82">
        <v>1426185711.8294</v>
      </c>
      <c r="P109" s="82">
        <v>1197113658.19617</v>
      </c>
      <c r="Q109" s="82">
        <v>914353191.430442</v>
      </c>
      <c r="R109" s="82">
        <v>572283415.569073</v>
      </c>
    </row>
    <row r="110" spans="11:18" ht="15">
      <c r="K110" s="64">
        <f t="shared" si="2"/>
        <v>44469</v>
      </c>
      <c r="L110" s="82">
        <f>SUMIF('Covered Bond Series'!$G$5:$G$9,"&gt;"&amp;'Amortisation Profiles'!K110,'Covered Bond Series'!$E$5:$E$9)</f>
        <v>90000000</v>
      </c>
      <c r="N110" s="64">
        <f t="shared" si="3"/>
        <v>44469</v>
      </c>
      <c r="O110" s="82">
        <v>1413275003.5334</v>
      </c>
      <c r="P110" s="82">
        <v>1184281164.34763</v>
      </c>
      <c r="Q110" s="82">
        <v>902211202.961414</v>
      </c>
      <c r="R110" s="82">
        <v>562145363.520123</v>
      </c>
    </row>
    <row r="111" spans="11:18" ht="15">
      <c r="K111" s="64">
        <f t="shared" si="2"/>
        <v>44500</v>
      </c>
      <c r="L111" s="82">
        <f>SUMIF('Covered Bond Series'!$G$5:$G$9,"&gt;"&amp;'Amortisation Profiles'!K111,'Covered Bond Series'!$E$5:$E$9)</f>
        <v>90000000</v>
      </c>
      <c r="N111" s="64">
        <f t="shared" si="3"/>
        <v>44500</v>
      </c>
      <c r="O111" s="82">
        <v>1402280383.7121</v>
      </c>
      <c r="P111" s="82">
        <v>1173091377.71019</v>
      </c>
      <c r="Q111" s="82">
        <v>891374139.070475</v>
      </c>
      <c r="R111" s="82">
        <v>552896307.943389</v>
      </c>
    </row>
    <row r="112" spans="11:18" ht="15">
      <c r="K112" s="64">
        <f t="shared" si="2"/>
        <v>44530</v>
      </c>
      <c r="L112" s="82">
        <f>SUMIF('Covered Bond Series'!$G$5:$G$9,"&gt;"&amp;'Amortisation Profiles'!K112,'Covered Bond Series'!$E$5:$E$9)</f>
        <v>90000000</v>
      </c>
      <c r="N112" s="64">
        <f t="shared" si="3"/>
        <v>44530</v>
      </c>
      <c r="O112" s="82">
        <v>1391550396.2567</v>
      </c>
      <c r="P112" s="82">
        <v>1162156893.89295</v>
      </c>
      <c r="Q112" s="82">
        <v>880780608.487182</v>
      </c>
      <c r="R112" s="82">
        <v>543869426.751393</v>
      </c>
    </row>
    <row r="113" spans="11:18" ht="15">
      <c r="K113" s="64">
        <f t="shared" si="2"/>
        <v>44561</v>
      </c>
      <c r="L113" s="82">
        <f>SUMIF('Covered Bond Series'!$G$5:$G$9,"&gt;"&amp;'Amortisation Profiles'!K113,'Covered Bond Series'!$E$5:$E$9)</f>
        <v>90000000</v>
      </c>
      <c r="N113" s="64">
        <f t="shared" si="3"/>
        <v>44561</v>
      </c>
      <c r="O113" s="82">
        <v>1381156265.1665</v>
      </c>
      <c r="P113" s="82">
        <v>1151535896.71437</v>
      </c>
      <c r="Q113" s="82">
        <v>870472903.283959</v>
      </c>
      <c r="R113" s="82">
        <v>535088232.873907</v>
      </c>
    </row>
    <row r="114" spans="11:18" ht="15">
      <c r="K114" s="64">
        <f t="shared" si="2"/>
        <v>44592</v>
      </c>
      <c r="L114" s="82">
        <f>SUMIF('Covered Bond Series'!$G$5:$G$9,"&gt;"&amp;'Amortisation Profiles'!K114,'Covered Bond Series'!$E$5:$E$9)</f>
        <v>90000000</v>
      </c>
      <c r="N114" s="64">
        <f t="shared" si="3"/>
        <v>44592</v>
      </c>
      <c r="O114" s="82">
        <v>1369215299.3234</v>
      </c>
      <c r="P114" s="82">
        <v>1139659842.40386</v>
      </c>
      <c r="Q114" s="82">
        <v>859266371.655877</v>
      </c>
      <c r="R114" s="82">
        <v>525824965.371025</v>
      </c>
    </row>
    <row r="115" spans="11:18" ht="15">
      <c r="K115" s="64">
        <f t="shared" si="2"/>
        <v>44620</v>
      </c>
      <c r="L115" s="82">
        <f>SUMIF('Covered Bond Series'!$G$5:$G$9,"&gt;"&amp;'Amortisation Profiles'!K115,'Covered Bond Series'!$E$5:$E$9)</f>
        <v>90000000</v>
      </c>
      <c r="N115" s="64">
        <f t="shared" si="3"/>
        <v>44620</v>
      </c>
      <c r="O115" s="82">
        <v>1358585880.9662</v>
      </c>
      <c r="P115" s="82">
        <v>1128910307.88976</v>
      </c>
      <c r="Q115" s="82">
        <v>848959167.909369</v>
      </c>
      <c r="R115" s="82">
        <v>517182036.024726</v>
      </c>
    </row>
    <row r="116" spans="11:18" ht="15">
      <c r="K116" s="64">
        <f t="shared" si="2"/>
        <v>44651</v>
      </c>
      <c r="L116" s="82">
        <f>SUMIF('Covered Bond Series'!$G$5:$G$9,"&gt;"&amp;'Amortisation Profiles'!K116,'Covered Bond Series'!$E$5:$E$9)</f>
        <v>90000000</v>
      </c>
      <c r="N116" s="64">
        <f t="shared" si="3"/>
        <v>44651</v>
      </c>
      <c r="O116" s="82">
        <v>1347949364.2838</v>
      </c>
      <c r="P116" s="82">
        <v>1118187824.42376</v>
      </c>
      <c r="Q116" s="82">
        <v>838719842.986137</v>
      </c>
      <c r="R116" s="82">
        <v>508647352.750824</v>
      </c>
    </row>
    <row r="117" spans="11:18" ht="15">
      <c r="K117" s="64">
        <f t="shared" si="2"/>
        <v>44681</v>
      </c>
      <c r="L117" s="82">
        <f>SUMIF('Covered Bond Series'!$G$5:$G$9,"&gt;"&amp;'Amortisation Profiles'!K117,'Covered Bond Series'!$E$5:$E$9)</f>
        <v>90000000</v>
      </c>
      <c r="N117" s="64">
        <f t="shared" si="3"/>
        <v>44681</v>
      </c>
      <c r="O117" s="82">
        <v>1337718187.2488</v>
      </c>
      <c r="P117" s="82">
        <v>1107833903.91706</v>
      </c>
      <c r="Q117" s="82">
        <v>828803554.625631</v>
      </c>
      <c r="R117" s="82">
        <v>500373980.220707</v>
      </c>
    </row>
    <row r="118" spans="11:18" ht="15">
      <c r="K118" s="64">
        <f t="shared" si="2"/>
        <v>44712</v>
      </c>
      <c r="L118" s="82">
        <f>SUMIF('Covered Bond Series'!$G$5:$G$9,"&gt;"&amp;'Amortisation Profiles'!K118,'Covered Bond Series'!$E$5:$E$9)</f>
        <v>90000000</v>
      </c>
      <c r="N118" s="64">
        <f t="shared" si="3"/>
        <v>44712</v>
      </c>
      <c r="O118" s="82">
        <v>1327425704.9401</v>
      </c>
      <c r="P118" s="82">
        <v>1097460967.86067</v>
      </c>
      <c r="Q118" s="82">
        <v>818918779.146206</v>
      </c>
      <c r="R118" s="82">
        <v>492183652.873214</v>
      </c>
    </row>
    <row r="119" spans="11:18" ht="15">
      <c r="K119" s="64">
        <f t="shared" si="2"/>
        <v>44742</v>
      </c>
      <c r="L119" s="82">
        <f>SUMIF('Covered Bond Series'!$G$5:$G$9,"&gt;"&amp;'Amortisation Profiles'!K119,'Covered Bond Series'!$E$5:$E$9)</f>
        <v>90000000</v>
      </c>
      <c r="N119" s="64">
        <f t="shared" si="3"/>
        <v>44742</v>
      </c>
      <c r="O119" s="82">
        <v>1317776354.7948</v>
      </c>
      <c r="P119" s="82">
        <v>1087650614.93963</v>
      </c>
      <c r="Q119" s="82">
        <v>809498319.485297</v>
      </c>
      <c r="R119" s="82">
        <v>484334659.615545</v>
      </c>
    </row>
    <row r="120" spans="11:18" ht="15">
      <c r="K120" s="64">
        <f t="shared" si="2"/>
        <v>44773</v>
      </c>
      <c r="L120" s="82">
        <f>SUMIF('Covered Bond Series'!$G$5:$G$9,"&gt;"&amp;'Amortisation Profiles'!K120,'Covered Bond Series'!$E$5:$E$9)</f>
        <v>90000000</v>
      </c>
      <c r="N120" s="64">
        <f t="shared" si="3"/>
        <v>44773</v>
      </c>
      <c r="O120" s="82">
        <v>1307431968.3309</v>
      </c>
      <c r="P120" s="82">
        <v>1077297466.4073</v>
      </c>
      <c r="Q120" s="82">
        <v>799718189.429995</v>
      </c>
      <c r="R120" s="82">
        <v>476332060.712829</v>
      </c>
    </row>
    <row r="121" spans="11:18" ht="15">
      <c r="K121" s="64">
        <f t="shared" si="2"/>
        <v>44804</v>
      </c>
      <c r="L121" s="82">
        <f>SUMIF('Covered Bond Series'!$G$5:$G$9,"&gt;"&amp;'Amortisation Profiles'!K121,'Covered Bond Series'!$E$5:$E$9)</f>
        <v>90000000</v>
      </c>
      <c r="N121" s="64">
        <f t="shared" si="3"/>
        <v>44804</v>
      </c>
      <c r="O121" s="82">
        <v>1297895260.1452</v>
      </c>
      <c r="P121" s="82">
        <v>1067640461.65951</v>
      </c>
      <c r="Q121" s="82">
        <v>790498689.424032</v>
      </c>
      <c r="R121" s="82">
        <v>468724048.754969</v>
      </c>
    </row>
    <row r="122" spans="11:18" ht="15">
      <c r="K122" s="64">
        <f t="shared" si="2"/>
        <v>44834</v>
      </c>
      <c r="L122" s="82">
        <f>SUMIF('Covered Bond Series'!$G$5:$G$9,"&gt;"&amp;'Amortisation Profiles'!K122,'Covered Bond Series'!$E$5:$E$9)</f>
        <v>90000000</v>
      </c>
      <c r="N122" s="64">
        <f t="shared" si="3"/>
        <v>44834</v>
      </c>
      <c r="O122" s="82">
        <v>1288286759.1316</v>
      </c>
      <c r="P122" s="82">
        <v>1057953941.12415</v>
      </c>
      <c r="Q122" s="82">
        <v>781299748.504155</v>
      </c>
      <c r="R122" s="82">
        <v>461186948.981698</v>
      </c>
    </row>
    <row r="123" spans="11:18" ht="15">
      <c r="K123" s="64">
        <f t="shared" si="2"/>
        <v>44865</v>
      </c>
      <c r="L123" s="82">
        <f>SUMIF('Covered Bond Series'!$G$5:$G$9,"&gt;"&amp;'Amortisation Profiles'!K123,'Covered Bond Series'!$E$5:$E$9)</f>
        <v>90000000</v>
      </c>
      <c r="N123" s="64">
        <f t="shared" si="3"/>
        <v>44865</v>
      </c>
      <c r="O123" s="82">
        <v>1278714735.3201</v>
      </c>
      <c r="P123" s="82">
        <v>1048326892.07612</v>
      </c>
      <c r="Q123" s="82">
        <v>772186927.149361</v>
      </c>
      <c r="R123" s="82">
        <v>453758748.32888</v>
      </c>
    </row>
    <row r="124" spans="11:18" ht="15">
      <c r="K124" s="64">
        <f t="shared" si="2"/>
        <v>44895</v>
      </c>
      <c r="L124" s="82">
        <f>SUMIF('Covered Bond Series'!$G$5:$G$9,"&gt;"&amp;'Amortisation Profiles'!K124,'Covered Bond Series'!$E$5:$E$9)</f>
        <v>90000000</v>
      </c>
      <c r="N124" s="64">
        <f t="shared" si="3"/>
        <v>44895</v>
      </c>
      <c r="O124" s="82">
        <v>1269067671.6649</v>
      </c>
      <c r="P124" s="82">
        <v>1038667821.64538</v>
      </c>
      <c r="Q124" s="82">
        <v>763092507.776981</v>
      </c>
      <c r="R124" s="82">
        <v>446398779.503475</v>
      </c>
    </row>
    <row r="125" spans="11:18" ht="15">
      <c r="K125" s="64">
        <f t="shared" si="2"/>
        <v>44926</v>
      </c>
      <c r="L125" s="82">
        <f>SUMIF('Covered Bond Series'!$G$5:$G$9,"&gt;"&amp;'Amortisation Profiles'!K125,'Covered Bond Series'!$E$5:$E$9)</f>
        <v>90000000</v>
      </c>
      <c r="N125" s="64">
        <f t="shared" si="3"/>
        <v>44926</v>
      </c>
      <c r="O125" s="82">
        <v>1259601979.9822</v>
      </c>
      <c r="P125" s="82">
        <v>1029186475.10273</v>
      </c>
      <c r="Q125" s="82">
        <v>754170216.218454</v>
      </c>
      <c r="R125" s="82">
        <v>439196052.141503</v>
      </c>
    </row>
    <row r="126" spans="11:18" ht="15">
      <c r="K126" s="64">
        <f t="shared" si="2"/>
        <v>44957</v>
      </c>
      <c r="L126" s="82">
        <f>SUMIF('Covered Bond Series'!$G$5:$G$9,"&gt;"&amp;'Amortisation Profiles'!K126,'Covered Bond Series'!$E$5:$E$9)</f>
        <v>90000000</v>
      </c>
      <c r="N126" s="64">
        <f t="shared" si="3"/>
        <v>44957</v>
      </c>
      <c r="O126" s="82">
        <v>1250086590.8552</v>
      </c>
      <c r="P126" s="82">
        <v>1019693549.51632</v>
      </c>
      <c r="Q126" s="82">
        <v>745280525.256303</v>
      </c>
      <c r="R126" s="82">
        <v>432067963.434344</v>
      </c>
    </row>
    <row r="127" spans="11:18" ht="15">
      <c r="K127" s="64">
        <f t="shared" si="2"/>
        <v>44985</v>
      </c>
      <c r="L127" s="82">
        <f>SUMIF('Covered Bond Series'!$G$5:$G$9,"&gt;"&amp;'Amortisation Profiles'!K127,'Covered Bond Series'!$E$5:$E$9)</f>
        <v>90000000</v>
      </c>
      <c r="N127" s="64">
        <f t="shared" si="3"/>
        <v>44985</v>
      </c>
      <c r="O127" s="82">
        <v>1240394527.8264</v>
      </c>
      <c r="P127" s="82">
        <v>1010085778.47079</v>
      </c>
      <c r="Q127" s="82">
        <v>736348067.981715</v>
      </c>
      <c r="R127" s="82">
        <v>424970404.448141</v>
      </c>
    </row>
    <row r="128" spans="11:18" ht="15">
      <c r="K128" s="64">
        <f t="shared" si="2"/>
        <v>45016</v>
      </c>
      <c r="L128" s="82">
        <f>SUMIF('Covered Bond Series'!$G$5:$G$9,"&gt;"&amp;'Amortisation Profiles'!K128,'Covered Bond Series'!$E$5:$E$9)</f>
        <v>90000000</v>
      </c>
      <c r="N128" s="64">
        <f t="shared" si="3"/>
        <v>45016</v>
      </c>
      <c r="O128" s="82">
        <v>1230676267.7291</v>
      </c>
      <c r="P128" s="82">
        <v>1000486148.17848</v>
      </c>
      <c r="Q128" s="82">
        <v>727462765.712872</v>
      </c>
      <c r="R128" s="82">
        <v>417955020.440235</v>
      </c>
    </row>
    <row r="129" spans="11:18" ht="15">
      <c r="K129" s="64">
        <f t="shared" si="2"/>
        <v>45046</v>
      </c>
      <c r="L129" s="82">
        <f>SUMIF('Covered Bond Series'!$G$5:$G$9,"&gt;"&amp;'Amortisation Profiles'!K129,'Covered Bond Series'!$E$5:$E$9)</f>
        <v>90000000</v>
      </c>
      <c r="N129" s="64">
        <f t="shared" si="3"/>
        <v>45046</v>
      </c>
      <c r="O129" s="82">
        <v>1220962786.9313</v>
      </c>
      <c r="P129" s="82">
        <v>990919834.197843</v>
      </c>
      <c r="Q129" s="82">
        <v>718642677.355999</v>
      </c>
      <c r="R129" s="82">
        <v>411031422.766133</v>
      </c>
    </row>
    <row r="130" spans="11:18" ht="15">
      <c r="K130" s="64">
        <f t="shared" si="2"/>
        <v>45077</v>
      </c>
      <c r="L130" s="82">
        <f>SUMIF('Covered Bond Series'!$G$5:$G$9,"&gt;"&amp;'Amortisation Profiles'!K130,'Covered Bond Series'!$E$5:$E$9)</f>
        <v>90000000</v>
      </c>
      <c r="N130" s="64">
        <f t="shared" si="3"/>
        <v>45077</v>
      </c>
      <c r="O130" s="82">
        <v>1210780289.6845</v>
      </c>
      <c r="P130" s="82">
        <v>981002864.401202</v>
      </c>
      <c r="Q130" s="82">
        <v>709609715.83506</v>
      </c>
      <c r="R130" s="82">
        <v>404040420.515464</v>
      </c>
    </row>
    <row r="131" spans="11:18" ht="15">
      <c r="K131" s="64">
        <f t="shared" si="2"/>
        <v>45107</v>
      </c>
      <c r="L131" s="82">
        <f>SUMIF('Covered Bond Series'!$G$5:$G$9,"&gt;"&amp;'Amortisation Profiles'!K131,'Covered Bond Series'!$E$5:$E$9)</f>
        <v>90000000</v>
      </c>
      <c r="N131" s="64">
        <f t="shared" si="3"/>
        <v>45107</v>
      </c>
      <c r="O131" s="82">
        <v>1201208171.6595</v>
      </c>
      <c r="P131" s="82">
        <v>971610166.658795</v>
      </c>
      <c r="Q131" s="82">
        <v>700996939.86819</v>
      </c>
      <c r="R131" s="82">
        <v>397342138.758946</v>
      </c>
    </row>
    <row r="132" spans="11:18" ht="15">
      <c r="K132" s="64">
        <f t="shared" si="2"/>
        <v>45138</v>
      </c>
      <c r="L132" s="82">
        <f>SUMIF('Covered Bond Series'!$G$5:$G$9,"&gt;"&amp;'Amortisation Profiles'!K132,'Covered Bond Series'!$E$5:$E$9)</f>
        <v>90000000</v>
      </c>
      <c r="N132" s="64">
        <f t="shared" si="3"/>
        <v>45138</v>
      </c>
      <c r="O132" s="82">
        <v>1191577015.7237</v>
      </c>
      <c r="P132" s="82">
        <v>962198620.125017</v>
      </c>
      <c r="Q132" s="82">
        <v>692410420.947646</v>
      </c>
      <c r="R132" s="82">
        <v>390710732.360382</v>
      </c>
    </row>
    <row r="133" spans="11:18" ht="15">
      <c r="K133" s="64">
        <f t="shared" si="2"/>
        <v>45169</v>
      </c>
      <c r="L133" s="82">
        <f>SUMIF('Covered Bond Series'!$G$5:$G$9,"&gt;"&amp;'Amortisation Profiles'!K133,'Covered Bond Series'!$E$5:$E$9)</f>
        <v>90000000</v>
      </c>
      <c r="N133" s="64">
        <f t="shared" si="3"/>
        <v>45169</v>
      </c>
      <c r="O133" s="82">
        <v>1182135904.48</v>
      </c>
      <c r="P133" s="82">
        <v>952969189.524853</v>
      </c>
      <c r="Q133" s="82">
        <v>683994358.888086</v>
      </c>
      <c r="R133" s="82">
        <v>384226670.600558</v>
      </c>
    </row>
    <row r="134" spans="11:18" ht="15">
      <c r="K134" s="64">
        <f t="shared" si="2"/>
        <v>45199</v>
      </c>
      <c r="L134" s="82">
        <f>SUMIF('Covered Bond Series'!$G$5:$G$9,"&gt;"&amp;'Amortisation Profiles'!K134,'Covered Bond Series'!$E$5:$E$9)</f>
        <v>90000000</v>
      </c>
      <c r="N134" s="64">
        <f t="shared" si="3"/>
        <v>45199</v>
      </c>
      <c r="O134" s="82">
        <v>1172694398.163</v>
      </c>
      <c r="P134" s="82">
        <v>943767768.891074</v>
      </c>
      <c r="Q134" s="82">
        <v>675637265.790003</v>
      </c>
      <c r="R134" s="82">
        <v>377825987.086256</v>
      </c>
    </row>
    <row r="135" spans="11:18" ht="15">
      <c r="K135" s="64">
        <f aca="true" t="shared" si="4" ref="K135:K198">EOMONTH(K134,1)</f>
        <v>45230</v>
      </c>
      <c r="L135" s="82">
        <f>SUMIF('Covered Bond Series'!$G$5:$G$9,"&gt;"&amp;'Amortisation Profiles'!K135,'Covered Bond Series'!$E$5:$E$9)</f>
        <v>90000000</v>
      </c>
      <c r="N135" s="64">
        <f aca="true" t="shared" si="5" ref="N135:N198">EOMONTH(N134,1)</f>
        <v>45230</v>
      </c>
      <c r="O135" s="82">
        <v>1163227308.9214</v>
      </c>
      <c r="P135" s="82">
        <v>934574053.730384</v>
      </c>
      <c r="Q135" s="82">
        <v>667324344.12152</v>
      </c>
      <c r="R135" s="82">
        <v>371499676.494448</v>
      </c>
    </row>
    <row r="136" spans="11:18" ht="15">
      <c r="K136" s="64">
        <f t="shared" si="4"/>
        <v>45260</v>
      </c>
      <c r="L136" s="82">
        <f>SUMIF('Covered Bond Series'!$G$5:$G$9,"&gt;"&amp;'Amortisation Profiles'!K136,'Covered Bond Series'!$E$5:$E$9)</f>
        <v>90000000</v>
      </c>
      <c r="N136" s="64">
        <f t="shared" si="5"/>
        <v>45260</v>
      </c>
      <c r="O136" s="82">
        <v>1153791362.7883</v>
      </c>
      <c r="P136" s="82">
        <v>925433577.39054</v>
      </c>
      <c r="Q136" s="82">
        <v>659087835.574102</v>
      </c>
      <c r="R136" s="82">
        <v>365264957.433629</v>
      </c>
    </row>
    <row r="137" spans="11:18" ht="15">
      <c r="K137" s="64">
        <f t="shared" si="4"/>
        <v>45291</v>
      </c>
      <c r="L137" s="82">
        <f>SUMIF('Covered Bond Series'!$G$5:$G$9,"&gt;"&amp;'Amortisation Profiles'!K137,'Covered Bond Series'!$E$5:$E$9)</f>
        <v>90000000</v>
      </c>
      <c r="N137" s="64">
        <f t="shared" si="5"/>
        <v>45291</v>
      </c>
      <c r="O137" s="82">
        <v>1144289292.2619</v>
      </c>
      <c r="P137" s="82">
        <v>916268260.578976</v>
      </c>
      <c r="Q137" s="82">
        <v>650871837.548844</v>
      </c>
      <c r="R137" s="82">
        <v>359090102.512546</v>
      </c>
    </row>
    <row r="138" spans="11:18" ht="15">
      <c r="K138" s="64">
        <f t="shared" si="4"/>
        <v>45322</v>
      </c>
      <c r="L138" s="82">
        <f>SUMIF('Covered Bond Series'!$G$5:$G$9,"&gt;"&amp;'Amortisation Profiles'!K138,'Covered Bond Series'!$E$5:$E$9)</f>
        <v>90000000</v>
      </c>
      <c r="N138" s="64">
        <f t="shared" si="5"/>
        <v>45322</v>
      </c>
      <c r="O138" s="82">
        <v>1134691964.6742</v>
      </c>
      <c r="P138" s="82">
        <v>907055012.247612</v>
      </c>
      <c r="Q138" s="82">
        <v>642659984.816783</v>
      </c>
      <c r="R138" s="82">
        <v>352965661.097024</v>
      </c>
    </row>
    <row r="139" spans="11:18" ht="15">
      <c r="K139" s="64">
        <f t="shared" si="4"/>
        <v>45351</v>
      </c>
      <c r="L139" s="82">
        <f>SUMIF('Covered Bond Series'!$G$5:$G$9,"&gt;"&amp;'Amortisation Profiles'!K139,'Covered Bond Series'!$E$5:$E$9)</f>
        <v>90000000</v>
      </c>
      <c r="N139" s="64">
        <f t="shared" si="5"/>
        <v>45351</v>
      </c>
      <c r="O139" s="82">
        <v>1124971466.4758</v>
      </c>
      <c r="P139" s="82">
        <v>897771872.490393</v>
      </c>
      <c r="Q139" s="82">
        <v>634436879.910138</v>
      </c>
      <c r="R139" s="82">
        <v>346882874.990486</v>
      </c>
    </row>
    <row r="140" spans="11:18" ht="15">
      <c r="K140" s="64">
        <f t="shared" si="4"/>
        <v>45382</v>
      </c>
      <c r="L140" s="82">
        <f>SUMIF('Covered Bond Series'!$G$5:$G$9,"&gt;"&amp;'Amortisation Profiles'!K140,'Covered Bond Series'!$E$5:$E$9)</f>
        <v>90000000</v>
      </c>
      <c r="N140" s="64">
        <f t="shared" si="5"/>
        <v>45382</v>
      </c>
      <c r="O140" s="82">
        <v>1115642737.302</v>
      </c>
      <c r="P140" s="82">
        <v>888829518.64126</v>
      </c>
      <c r="Q140" s="82">
        <v>626492230.414825</v>
      </c>
      <c r="R140" s="82">
        <v>340999208.197891</v>
      </c>
    </row>
    <row r="141" spans="11:18" ht="15">
      <c r="K141" s="64">
        <f t="shared" si="4"/>
        <v>45412</v>
      </c>
      <c r="L141" s="82">
        <f>SUMIF('Covered Bond Series'!$G$5:$G$9,"&gt;"&amp;'Amortisation Profiles'!K141,'Covered Bond Series'!$E$5:$E$9)</f>
        <v>90000000</v>
      </c>
      <c r="N141" s="64">
        <f t="shared" si="5"/>
        <v>45412</v>
      </c>
      <c r="O141" s="82">
        <v>1106228875.2144</v>
      </c>
      <c r="P141" s="82">
        <v>879846997.870389</v>
      </c>
      <c r="Q141" s="82">
        <v>618556208.798249</v>
      </c>
      <c r="R141" s="82">
        <v>335166106.276872</v>
      </c>
    </row>
    <row r="142" spans="11:18" ht="15">
      <c r="K142" s="64">
        <f t="shared" si="4"/>
        <v>45443</v>
      </c>
      <c r="L142" s="82">
        <f>SUMIF('Covered Bond Series'!$G$5:$G$9,"&gt;"&amp;'Amortisation Profiles'!K142,'Covered Bond Series'!$E$5:$E$9)</f>
        <v>90000000</v>
      </c>
      <c r="N142" s="64">
        <f t="shared" si="5"/>
        <v>45443</v>
      </c>
      <c r="O142" s="82">
        <v>1096923194.9596</v>
      </c>
      <c r="P142" s="82">
        <v>870978081.014035</v>
      </c>
      <c r="Q142" s="82">
        <v>610736722.217957</v>
      </c>
      <c r="R142" s="82">
        <v>329441418.897868</v>
      </c>
    </row>
    <row r="143" spans="11:18" ht="15">
      <c r="K143" s="64">
        <f t="shared" si="4"/>
        <v>45473</v>
      </c>
      <c r="L143" s="82">
        <f>SUMIF('Covered Bond Series'!$G$5:$G$9,"&gt;"&amp;'Amortisation Profiles'!K143,'Covered Bond Series'!$E$5:$E$9)</f>
        <v>90000000</v>
      </c>
      <c r="N143" s="64">
        <f t="shared" si="5"/>
        <v>45473</v>
      </c>
      <c r="O143" s="82">
        <v>1087591551.4005</v>
      </c>
      <c r="P143" s="82">
        <v>862115930.826564</v>
      </c>
      <c r="Q143" s="82">
        <v>602958292.701573</v>
      </c>
      <c r="R143" s="82">
        <v>323783475.518295</v>
      </c>
    </row>
    <row r="144" spans="11:18" ht="15">
      <c r="K144" s="64">
        <f t="shared" si="4"/>
        <v>45504</v>
      </c>
      <c r="L144" s="82">
        <f>SUMIF('Covered Bond Series'!$G$5:$G$9,"&gt;"&amp;'Amortisation Profiles'!K144,'Covered Bond Series'!$E$5:$E$9)</f>
        <v>90000000</v>
      </c>
      <c r="N144" s="64">
        <f t="shared" si="5"/>
        <v>45504</v>
      </c>
      <c r="O144" s="82">
        <v>1078311837.3087</v>
      </c>
      <c r="P144" s="82">
        <v>853322225.574521</v>
      </c>
      <c r="Q144" s="82">
        <v>595263774.557249</v>
      </c>
      <c r="R144" s="82">
        <v>318214601.189548</v>
      </c>
    </row>
    <row r="145" spans="11:18" ht="15">
      <c r="K145" s="64">
        <f t="shared" si="4"/>
        <v>45535</v>
      </c>
      <c r="L145" s="82">
        <f>SUMIF('Covered Bond Series'!$G$5:$G$9,"&gt;"&amp;'Amortisation Profiles'!K145,'Covered Bond Series'!$E$5:$E$9)</f>
        <v>90000000</v>
      </c>
      <c r="N145" s="64">
        <f t="shared" si="5"/>
        <v>45535</v>
      </c>
      <c r="O145" s="82">
        <v>1069057674.6301</v>
      </c>
      <c r="P145" s="82">
        <v>844575851.534328</v>
      </c>
      <c r="Q145" s="82">
        <v>587637970.896566</v>
      </c>
      <c r="R145" s="82">
        <v>312725821.523348</v>
      </c>
    </row>
    <row r="146" spans="11:18" ht="15">
      <c r="K146" s="64">
        <f t="shared" si="4"/>
        <v>45565</v>
      </c>
      <c r="L146" s="82">
        <f>SUMIF('Covered Bond Series'!$G$5:$G$9,"&gt;"&amp;'Amortisation Profiles'!K146,'Covered Bond Series'!$E$5:$E$9)</f>
        <v>90000000</v>
      </c>
      <c r="N146" s="64">
        <f t="shared" si="5"/>
        <v>45565</v>
      </c>
      <c r="O146" s="82">
        <v>1059789164.0382</v>
      </c>
      <c r="P146" s="82">
        <v>835845171.954114</v>
      </c>
      <c r="Q146" s="82">
        <v>580058537.390557</v>
      </c>
      <c r="R146" s="82">
        <v>307304525.701109</v>
      </c>
    </row>
    <row r="147" spans="11:18" ht="15">
      <c r="K147" s="64">
        <f t="shared" si="4"/>
        <v>45596</v>
      </c>
      <c r="L147" s="82">
        <f>SUMIF('Covered Bond Series'!$G$5:$G$9,"&gt;"&amp;'Amortisation Profiles'!K147,'Covered Bond Series'!$E$5:$E$9)</f>
        <v>90000000</v>
      </c>
      <c r="N147" s="64">
        <f t="shared" si="5"/>
        <v>45596</v>
      </c>
      <c r="O147" s="82">
        <v>1050217468.2355</v>
      </c>
      <c r="P147" s="82">
        <v>826902758.721466</v>
      </c>
      <c r="Q147" s="82">
        <v>572367834.396341</v>
      </c>
      <c r="R147" s="82">
        <v>301866969.558408</v>
      </c>
    </row>
    <row r="148" spans="11:18" ht="15">
      <c r="K148" s="64">
        <f t="shared" si="4"/>
        <v>45626</v>
      </c>
      <c r="L148" s="82">
        <f>SUMIF('Covered Bond Series'!$G$5:$G$9,"&gt;"&amp;'Amortisation Profiles'!K148,'Covered Bond Series'!$E$5:$E$9)</f>
        <v>90000000</v>
      </c>
      <c r="N148" s="64">
        <f t="shared" si="5"/>
        <v>45626</v>
      </c>
      <c r="O148" s="82">
        <v>1040822601.5621</v>
      </c>
      <c r="P148" s="82">
        <v>818127059.071947</v>
      </c>
      <c r="Q148" s="82">
        <v>564828146.137885</v>
      </c>
      <c r="R148" s="82">
        <v>296551378.597481</v>
      </c>
    </row>
    <row r="149" spans="11:18" ht="15">
      <c r="K149" s="64">
        <f t="shared" si="4"/>
        <v>45657</v>
      </c>
      <c r="L149" s="82">
        <f>SUMIF('Covered Bond Series'!$G$5:$G$9,"&gt;"&amp;'Amortisation Profiles'!K149,'Covered Bond Series'!$E$5:$E$9)</f>
        <v>90000000</v>
      </c>
      <c r="N149" s="64">
        <f t="shared" si="5"/>
        <v>45657</v>
      </c>
      <c r="O149" s="82">
        <v>1031642378.1298</v>
      </c>
      <c r="P149" s="82">
        <v>809546977.786752</v>
      </c>
      <c r="Q149" s="82">
        <v>557458347.661185</v>
      </c>
      <c r="R149" s="82">
        <v>291366275.078209</v>
      </c>
    </row>
    <row r="150" spans="11:18" ht="15">
      <c r="K150" s="64">
        <f t="shared" si="4"/>
        <v>45688</v>
      </c>
      <c r="L150" s="82">
        <f>SUMIF('Covered Bond Series'!$G$5:$G$9,"&gt;"&amp;'Amortisation Profiles'!K150,'Covered Bond Series'!$E$5:$E$9)</f>
        <v>90000000</v>
      </c>
      <c r="N150" s="64">
        <f t="shared" si="5"/>
        <v>45688</v>
      </c>
      <c r="O150" s="82">
        <v>1022478109.7501</v>
      </c>
      <c r="P150" s="82">
        <v>801005946.326123</v>
      </c>
      <c r="Q150" s="82">
        <v>550149727.230855</v>
      </c>
      <c r="R150" s="82">
        <v>286253630.081541</v>
      </c>
    </row>
    <row r="151" spans="11:18" ht="15">
      <c r="K151" s="64">
        <f t="shared" si="4"/>
        <v>45716</v>
      </c>
      <c r="L151" s="82">
        <f>SUMIF('Covered Bond Series'!$G$5:$G$9,"&gt;"&amp;'Amortisation Profiles'!K151,'Covered Bond Series'!$E$5:$E$9)</f>
        <v>90000000</v>
      </c>
      <c r="N151" s="64">
        <f t="shared" si="5"/>
        <v>45716</v>
      </c>
      <c r="O151" s="82">
        <v>1013294588.7979</v>
      </c>
      <c r="P151" s="82">
        <v>792476302.183595</v>
      </c>
      <c r="Q151" s="82">
        <v>542882997.683321</v>
      </c>
      <c r="R151" s="82">
        <v>281202762.701348</v>
      </c>
    </row>
    <row r="152" spans="11:18" ht="15">
      <c r="K152" s="64">
        <f t="shared" si="4"/>
        <v>45747</v>
      </c>
      <c r="L152" s="82">
        <f>SUMIF('Covered Bond Series'!$G$5:$G$9,"&gt;"&amp;'Amortisation Profiles'!K152,'Covered Bond Series'!$E$5:$E$9)</f>
        <v>90000000</v>
      </c>
      <c r="N152" s="64">
        <f t="shared" si="5"/>
        <v>45747</v>
      </c>
      <c r="O152" s="82">
        <v>1003794340.2705</v>
      </c>
      <c r="P152" s="82">
        <v>783725797.691628</v>
      </c>
      <c r="Q152" s="82">
        <v>535499282.040062</v>
      </c>
      <c r="R152" s="82">
        <v>276131198.286997</v>
      </c>
    </row>
    <row r="153" spans="11:18" ht="15">
      <c r="K153" s="64">
        <f t="shared" si="4"/>
        <v>45777</v>
      </c>
      <c r="L153" s="82">
        <f>SUMIF('Covered Bond Series'!$G$5:$G$9,"&gt;"&amp;'Amortisation Profiles'!K153,'Covered Bond Series'!$E$5:$E$9)</f>
        <v>90000000</v>
      </c>
      <c r="N153" s="64">
        <f t="shared" si="5"/>
        <v>45777</v>
      </c>
      <c r="O153" s="82">
        <v>994655609.3133</v>
      </c>
      <c r="P153" s="82">
        <v>775284274.893027</v>
      </c>
      <c r="Q153" s="82">
        <v>528360716.51104</v>
      </c>
      <c r="R153" s="82">
        <v>271225393.032186</v>
      </c>
    </row>
    <row r="154" spans="11:18" ht="15">
      <c r="K154" s="64">
        <f t="shared" si="4"/>
        <v>45808</v>
      </c>
      <c r="L154" s="82">
        <f>SUMIF('Covered Bond Series'!$G$5:$G$9,"&gt;"&amp;'Amortisation Profiles'!K154,'Covered Bond Series'!$E$5:$E$9)</f>
        <v>90000000</v>
      </c>
      <c r="N154" s="64">
        <f t="shared" si="5"/>
        <v>45808</v>
      </c>
      <c r="O154" s="82">
        <v>985542727.1832</v>
      </c>
      <c r="P154" s="82">
        <v>766889048.876661</v>
      </c>
      <c r="Q154" s="82">
        <v>521286977.030958</v>
      </c>
      <c r="R154" s="82">
        <v>266391243.181174</v>
      </c>
    </row>
    <row r="155" spans="11:18" ht="15">
      <c r="K155" s="64">
        <f t="shared" si="4"/>
        <v>45838</v>
      </c>
      <c r="L155" s="82">
        <f>SUMIF('Covered Bond Series'!$G$5:$G$9,"&gt;"&amp;'Amortisation Profiles'!K155,'Covered Bond Series'!$E$5:$E$9)</f>
        <v>90000000</v>
      </c>
      <c r="N155" s="64">
        <f t="shared" si="5"/>
        <v>45838</v>
      </c>
      <c r="O155" s="82">
        <v>976371908.9951</v>
      </c>
      <c r="P155" s="82">
        <v>758474866.065431</v>
      </c>
      <c r="Q155" s="82">
        <v>514233454.900819</v>
      </c>
      <c r="R155" s="82">
        <v>261605360.531827</v>
      </c>
    </row>
    <row r="156" spans="11:18" ht="15">
      <c r="K156" s="64">
        <f t="shared" si="4"/>
        <v>45869</v>
      </c>
      <c r="L156" s="82">
        <f>SUMIF('Covered Bond Series'!$G$5:$G$9,"&gt;"&amp;'Amortisation Profiles'!K156,'Covered Bond Series'!$E$5:$E$9)</f>
        <v>90000000</v>
      </c>
      <c r="N156" s="64">
        <f t="shared" si="5"/>
        <v>45869</v>
      </c>
      <c r="O156" s="82">
        <v>967292686.0989</v>
      </c>
      <c r="P156" s="82">
        <v>750157855.418697</v>
      </c>
      <c r="Q156" s="82">
        <v>507278655.646021</v>
      </c>
      <c r="R156" s="82">
        <v>256907121.096946</v>
      </c>
    </row>
    <row r="157" spans="11:18" ht="15">
      <c r="K157" s="64">
        <f t="shared" si="4"/>
        <v>45900</v>
      </c>
      <c r="L157" s="82">
        <f>SUMIF('Covered Bond Series'!$G$5:$G$9,"&gt;"&amp;'Amortisation Profiles'!K157,'Covered Bond Series'!$E$5:$E$9)</f>
        <v>90000000</v>
      </c>
      <c r="N157" s="64">
        <f t="shared" si="5"/>
        <v>45900</v>
      </c>
      <c r="O157" s="82">
        <v>958247201.7563</v>
      </c>
      <c r="P157" s="82">
        <v>741892800.28995</v>
      </c>
      <c r="Q157" s="82">
        <v>500391448.103193</v>
      </c>
      <c r="R157" s="82">
        <v>252279914.111035</v>
      </c>
    </row>
    <row r="158" spans="11:18" ht="15">
      <c r="K158" s="64">
        <f t="shared" si="4"/>
        <v>45930</v>
      </c>
      <c r="L158" s="82">
        <f>SUMIF('Covered Bond Series'!$G$5:$G$9,"&gt;"&amp;'Amortisation Profiles'!K158,'Covered Bond Series'!$E$5:$E$9)</f>
        <v>90000000</v>
      </c>
      <c r="N158" s="64">
        <f t="shared" si="5"/>
        <v>45930</v>
      </c>
      <c r="O158" s="82">
        <v>948990169.0062</v>
      </c>
      <c r="P158" s="82">
        <v>733489919.868168</v>
      </c>
      <c r="Q158" s="82">
        <v>493443765.750631</v>
      </c>
      <c r="R158" s="82">
        <v>247658765.353251</v>
      </c>
    </row>
    <row r="159" spans="11:18" ht="15">
      <c r="K159" s="64">
        <f t="shared" si="4"/>
        <v>45961</v>
      </c>
      <c r="L159" s="82">
        <f>SUMIF('Covered Bond Series'!$G$5:$G$9,"&gt;"&amp;'Amortisation Profiles'!K159,'Covered Bond Series'!$E$5:$E$9)</f>
        <v>90000000</v>
      </c>
      <c r="N159" s="64">
        <f t="shared" si="5"/>
        <v>45961</v>
      </c>
      <c r="O159" s="82">
        <v>939729631.2073</v>
      </c>
      <c r="P159" s="82">
        <v>725110504.629048</v>
      </c>
      <c r="Q159" s="82">
        <v>486544432.985479</v>
      </c>
      <c r="R159" s="82">
        <v>243098224.141927</v>
      </c>
    </row>
    <row r="160" spans="11:18" ht="15">
      <c r="K160" s="64">
        <f t="shared" si="4"/>
        <v>45991</v>
      </c>
      <c r="L160" s="82">
        <f>SUMIF('Covered Bond Series'!$G$5:$G$9,"&gt;"&amp;'Amortisation Profiles'!K160,'Covered Bond Series'!$E$5:$E$9)</f>
        <v>90000000</v>
      </c>
      <c r="N160" s="64">
        <f t="shared" si="5"/>
        <v>45991</v>
      </c>
      <c r="O160" s="82">
        <v>930710537.3649</v>
      </c>
      <c r="P160" s="82">
        <v>716943193.268541</v>
      </c>
      <c r="Q160" s="82">
        <v>479819453.242875</v>
      </c>
      <c r="R160" s="82">
        <v>238660404.549751</v>
      </c>
    </row>
    <row r="161" spans="11:18" ht="15">
      <c r="K161" s="64">
        <f t="shared" si="4"/>
        <v>46022</v>
      </c>
      <c r="L161" s="82">
        <f>SUMIF('Covered Bond Series'!$G$5:$G$9,"&gt;"&amp;'Amortisation Profiles'!K161,'Covered Bond Series'!$E$5:$E$9)</f>
        <v>90000000</v>
      </c>
      <c r="N161" s="64">
        <f t="shared" si="5"/>
        <v>46022</v>
      </c>
      <c r="O161" s="82">
        <v>920671292.061</v>
      </c>
      <c r="P161" s="82">
        <v>708016788.62956</v>
      </c>
      <c r="Q161" s="82">
        <v>472619303.173483</v>
      </c>
      <c r="R161" s="82">
        <v>234022287.033167</v>
      </c>
    </row>
    <row r="162" spans="11:18" ht="15">
      <c r="K162" s="64">
        <f t="shared" si="4"/>
        <v>46053</v>
      </c>
      <c r="L162" s="82">
        <f>SUMIF('Covered Bond Series'!$G$5:$G$9,"&gt;"&amp;'Amortisation Profiles'!K162,'Covered Bond Series'!$E$5:$E$9)</f>
        <v>90000000</v>
      </c>
      <c r="N162" s="64">
        <f t="shared" si="5"/>
        <v>46053</v>
      </c>
      <c r="O162" s="82">
        <v>911631996.9271</v>
      </c>
      <c r="P162" s="82">
        <v>699886076.139838</v>
      </c>
      <c r="Q162" s="82">
        <v>465982972.486015</v>
      </c>
      <c r="R162" s="82">
        <v>229698973.220298</v>
      </c>
    </row>
    <row r="163" spans="11:18" ht="15">
      <c r="K163" s="64">
        <f t="shared" si="4"/>
        <v>46081</v>
      </c>
      <c r="L163" s="82">
        <f>SUMIF('Covered Bond Series'!$G$5:$G$9,"&gt;"&amp;'Amortisation Profiles'!K163,'Covered Bond Series'!$E$5:$E$9)</f>
        <v>90000000</v>
      </c>
      <c r="N163" s="64">
        <f t="shared" si="5"/>
        <v>46081</v>
      </c>
      <c r="O163" s="82">
        <v>902693592.4848</v>
      </c>
      <c r="P163" s="82">
        <v>691858040.654044</v>
      </c>
      <c r="Q163" s="82">
        <v>459446006.881444</v>
      </c>
      <c r="R163" s="82">
        <v>225458560.656963</v>
      </c>
    </row>
    <row r="164" spans="11:18" ht="15">
      <c r="K164" s="64">
        <f t="shared" si="4"/>
        <v>46112</v>
      </c>
      <c r="L164" s="82">
        <f>SUMIF('Covered Bond Series'!$G$5:$G$9,"&gt;"&amp;'Amortisation Profiles'!K164,'Covered Bond Series'!$E$5:$E$9)</f>
        <v>90000000</v>
      </c>
      <c r="N164" s="64">
        <f t="shared" si="5"/>
        <v>46112</v>
      </c>
      <c r="O164" s="82">
        <v>893214430.4275</v>
      </c>
      <c r="P164" s="82">
        <v>683441274.314176</v>
      </c>
      <c r="Q164" s="82">
        <v>452682271.141208</v>
      </c>
      <c r="R164" s="82">
        <v>221140851.428621</v>
      </c>
    </row>
    <row r="165" spans="11:18" ht="15">
      <c r="K165" s="64">
        <f t="shared" si="4"/>
        <v>46142</v>
      </c>
      <c r="L165" s="82">
        <f>SUMIF('Covered Bond Series'!$G$5:$G$9,"&gt;"&amp;'Amortisation Profiles'!K165,'Covered Bond Series'!$E$5:$E$9)</f>
        <v>90000000</v>
      </c>
      <c r="N165" s="64">
        <f t="shared" si="5"/>
        <v>46142</v>
      </c>
      <c r="O165" s="82">
        <v>884222836.6762</v>
      </c>
      <c r="P165" s="82">
        <v>675423301.340514</v>
      </c>
      <c r="Q165" s="82">
        <v>446213922.275187</v>
      </c>
      <c r="R165" s="82">
        <v>217001056.719215</v>
      </c>
    </row>
    <row r="166" spans="11:18" ht="15">
      <c r="K166" s="64">
        <f t="shared" si="4"/>
        <v>46173</v>
      </c>
      <c r="L166" s="82">
        <f>SUMIF('Covered Bond Series'!$G$5:$G$9,"&gt;"&amp;'Amortisation Profiles'!K166,'Covered Bond Series'!$E$5:$E$9)</f>
        <v>90000000</v>
      </c>
      <c r="N166" s="64">
        <f t="shared" si="5"/>
        <v>46173</v>
      </c>
      <c r="O166" s="82">
        <v>875559931.2885</v>
      </c>
      <c r="P166" s="82">
        <v>667681019.055737</v>
      </c>
      <c r="Q166" s="82">
        <v>439957678.443229</v>
      </c>
      <c r="R166" s="82">
        <v>212996700.120733</v>
      </c>
    </row>
    <row r="167" spans="11:18" ht="15">
      <c r="K167" s="64">
        <f t="shared" si="4"/>
        <v>46203</v>
      </c>
      <c r="L167" s="82">
        <f>SUMIF('Covered Bond Series'!$G$5:$G$9,"&gt;"&amp;'Amortisation Profiles'!K167,'Covered Bond Series'!$E$5:$E$9)</f>
        <v>90000000</v>
      </c>
      <c r="N167" s="64">
        <f t="shared" si="5"/>
        <v>46203</v>
      </c>
      <c r="O167" s="82">
        <v>866924395.4757</v>
      </c>
      <c r="P167" s="82">
        <v>659983708.741393</v>
      </c>
      <c r="Q167" s="82">
        <v>433760380.718296</v>
      </c>
      <c r="R167" s="82">
        <v>209052370.652236</v>
      </c>
    </row>
    <row r="168" spans="11:18" ht="15">
      <c r="K168" s="64">
        <f t="shared" si="4"/>
        <v>46234</v>
      </c>
      <c r="L168" s="82">
        <f>SUMIF('Covered Bond Series'!$G$5:$G$9,"&gt;"&amp;'Amortisation Profiles'!K168,'Covered Bond Series'!$E$5:$E$9)</f>
        <v>90000000</v>
      </c>
      <c r="N168" s="64">
        <f t="shared" si="5"/>
        <v>46234</v>
      </c>
      <c r="O168" s="82">
        <v>858308005.4618</v>
      </c>
      <c r="P168" s="82">
        <v>652324956.338473</v>
      </c>
      <c r="Q168" s="82">
        <v>427617483.772146</v>
      </c>
      <c r="R168" s="82">
        <v>205165301.320971</v>
      </c>
    </row>
    <row r="169" spans="11:18" ht="15">
      <c r="K169" s="64">
        <f t="shared" si="4"/>
        <v>46265</v>
      </c>
      <c r="L169" s="82">
        <f>SUMIF('Covered Bond Series'!$G$5:$G$9,"&gt;"&amp;'Amortisation Profiles'!K169,'Covered Bond Series'!$E$5:$E$9)</f>
        <v>90000000</v>
      </c>
      <c r="N169" s="64">
        <f t="shared" si="5"/>
        <v>46265</v>
      </c>
      <c r="O169" s="82">
        <v>849463824.9594</v>
      </c>
      <c r="P169" s="82">
        <v>644517270.100395</v>
      </c>
      <c r="Q169" s="82">
        <v>421406095.110074</v>
      </c>
      <c r="R169" s="82">
        <v>201276241.682486</v>
      </c>
    </row>
    <row r="170" spans="11:18" ht="15">
      <c r="K170" s="64">
        <f t="shared" si="4"/>
        <v>46295</v>
      </c>
      <c r="L170" s="82">
        <f>SUMIF('Covered Bond Series'!$G$5:$G$9,"&gt;"&amp;'Amortisation Profiles'!K170,'Covered Bond Series'!$E$5:$E$9)</f>
        <v>90000000</v>
      </c>
      <c r="N170" s="64">
        <f t="shared" si="5"/>
        <v>46295</v>
      </c>
      <c r="O170" s="82">
        <v>840874814.7396</v>
      </c>
      <c r="P170" s="82">
        <v>636927286.471293</v>
      </c>
      <c r="Q170" s="82">
        <v>415365960.185634</v>
      </c>
      <c r="R170" s="82">
        <v>197499430.268068</v>
      </c>
    </row>
    <row r="171" spans="11:18" ht="15">
      <c r="K171" s="64">
        <f t="shared" si="4"/>
        <v>46326</v>
      </c>
      <c r="L171" s="82">
        <f>SUMIF('Covered Bond Series'!$G$5:$G$9,"&gt;"&amp;'Amortisation Profiles'!K171,'Covered Bond Series'!$E$5:$E$9)</f>
        <v>90000000</v>
      </c>
      <c r="N171" s="64">
        <f t="shared" si="5"/>
        <v>46326</v>
      </c>
      <c r="O171" s="82">
        <v>832225578.0787</v>
      </c>
      <c r="P171" s="82">
        <v>629315470.960853</v>
      </c>
      <c r="Q171" s="82">
        <v>409340061.552418</v>
      </c>
      <c r="R171" s="82">
        <v>193759246.772472</v>
      </c>
    </row>
    <row r="172" spans="11:18" ht="15">
      <c r="K172" s="64">
        <f t="shared" si="4"/>
        <v>46356</v>
      </c>
      <c r="L172" s="82">
        <f>SUMIF('Covered Bond Series'!$G$5:$G$9,"&gt;"&amp;'Amortisation Profiles'!K172,'Covered Bond Series'!$E$5:$E$9)</f>
        <v>90000000</v>
      </c>
      <c r="N172" s="64">
        <f t="shared" si="5"/>
        <v>46356</v>
      </c>
      <c r="O172" s="82">
        <v>823177021.5125</v>
      </c>
      <c r="P172" s="82">
        <v>621426010.808851</v>
      </c>
      <c r="Q172" s="82">
        <v>403162438.660144</v>
      </c>
      <c r="R172" s="82">
        <v>189977204.430313</v>
      </c>
    </row>
    <row r="173" spans="11:18" ht="15">
      <c r="K173" s="64">
        <f t="shared" si="4"/>
        <v>46387</v>
      </c>
      <c r="L173" s="82">
        <f>SUMIF('Covered Bond Series'!$G$5:$G$9,"&gt;"&amp;'Amortisation Profiles'!K173,'Covered Bond Series'!$E$5:$E$9)</f>
        <v>90000000</v>
      </c>
      <c r="N173" s="64">
        <f t="shared" si="5"/>
        <v>46387</v>
      </c>
      <c r="O173" s="82">
        <v>815015188.6794</v>
      </c>
      <c r="P173" s="82">
        <v>614229583.914989</v>
      </c>
      <c r="Q173" s="82">
        <v>397462500.353634</v>
      </c>
      <c r="R173" s="82">
        <v>186449331.927639</v>
      </c>
    </row>
    <row r="174" spans="11:18" ht="15">
      <c r="K174" s="64">
        <f t="shared" si="4"/>
        <v>46418</v>
      </c>
      <c r="L174" s="82">
        <f>SUMIF('Covered Bond Series'!$G$5:$G$9,"&gt;"&amp;'Amortisation Profiles'!K174,'Covered Bond Series'!$E$5:$E$9)</f>
        <v>90000000</v>
      </c>
      <c r="N174" s="64">
        <f t="shared" si="5"/>
        <v>46418</v>
      </c>
      <c r="O174" s="82">
        <v>805970081.4808</v>
      </c>
      <c r="P174" s="82">
        <v>606391057.397458</v>
      </c>
      <c r="Q174" s="82">
        <v>391374938.552499</v>
      </c>
      <c r="R174" s="82">
        <v>182768322.571558</v>
      </c>
    </row>
    <row r="175" spans="11:18" ht="15">
      <c r="K175" s="64">
        <f t="shared" si="4"/>
        <v>46446</v>
      </c>
      <c r="L175" s="82">
        <f>SUMIF('Covered Bond Series'!$G$5:$G$9,"&gt;"&amp;'Amortisation Profiles'!K175,'Covered Bond Series'!$E$5:$E$9)</f>
        <v>90000000</v>
      </c>
      <c r="N175" s="64">
        <f t="shared" si="5"/>
        <v>46446</v>
      </c>
      <c r="O175" s="82">
        <v>797831907.1877</v>
      </c>
      <c r="P175" s="82">
        <v>599258368.547152</v>
      </c>
      <c r="Q175" s="82">
        <v>385770599.839017</v>
      </c>
      <c r="R175" s="82">
        <v>179341286.714041</v>
      </c>
    </row>
    <row r="176" spans="11:18" ht="15">
      <c r="K176" s="64">
        <f t="shared" si="4"/>
        <v>46477</v>
      </c>
      <c r="L176" s="82">
        <f>SUMIF('Covered Bond Series'!$G$5:$G$9,"&gt;"&amp;'Amortisation Profiles'!K176,'Covered Bond Series'!$E$5:$E$9)</f>
        <v>90000000</v>
      </c>
      <c r="N176" s="64">
        <f t="shared" si="5"/>
        <v>46477</v>
      </c>
      <c r="O176" s="82">
        <v>789886532.7259</v>
      </c>
      <c r="P176" s="82">
        <v>592292530.322775</v>
      </c>
      <c r="Q176" s="82">
        <v>380299774.781881</v>
      </c>
      <c r="R176" s="82">
        <v>176003160.189623</v>
      </c>
    </row>
    <row r="177" spans="11:18" ht="15">
      <c r="K177" s="64">
        <f t="shared" si="4"/>
        <v>46507</v>
      </c>
      <c r="L177" s="82">
        <f>SUMIF('Covered Bond Series'!$G$5:$G$9,"&gt;"&amp;'Amortisation Profiles'!K177,'Covered Bond Series'!$E$5:$E$9)</f>
        <v>90000000</v>
      </c>
      <c r="N177" s="64">
        <f t="shared" si="5"/>
        <v>46507</v>
      </c>
      <c r="O177" s="82">
        <v>782007718.8368</v>
      </c>
      <c r="P177" s="82">
        <v>585398257.401666</v>
      </c>
      <c r="Q177" s="82">
        <v>374900510.921689</v>
      </c>
      <c r="R177" s="82">
        <v>172724391.664648</v>
      </c>
    </row>
    <row r="178" spans="11:18" ht="15">
      <c r="K178" s="64">
        <f t="shared" si="4"/>
        <v>46538</v>
      </c>
      <c r="L178" s="82">
        <f>SUMIF('Covered Bond Series'!$G$5:$G$9,"&gt;"&amp;'Amortisation Profiles'!K178,'Covered Bond Series'!$E$5:$E$9)</f>
        <v>90000000</v>
      </c>
      <c r="N178" s="64">
        <f t="shared" si="5"/>
        <v>46538</v>
      </c>
      <c r="O178" s="82">
        <v>773284433.1322</v>
      </c>
      <c r="P178" s="82">
        <v>577894408.53458</v>
      </c>
      <c r="Q178" s="82">
        <v>369137267.820181</v>
      </c>
      <c r="R178" s="82">
        <v>169304606.614983</v>
      </c>
    </row>
    <row r="179" spans="11:18" ht="15">
      <c r="K179" s="64">
        <f t="shared" si="4"/>
        <v>46568</v>
      </c>
      <c r="L179" s="82">
        <f>SUMIF('Covered Bond Series'!$G$5:$G$9,"&gt;"&amp;'Amortisation Profiles'!K179,'Covered Bond Series'!$E$5:$E$9)</f>
        <v>90000000</v>
      </c>
      <c r="N179" s="64">
        <f t="shared" si="5"/>
        <v>46568</v>
      </c>
      <c r="O179" s="82">
        <v>765703495.1293</v>
      </c>
      <c r="P179" s="82">
        <v>571266416.547733</v>
      </c>
      <c r="Q179" s="82">
        <v>363959356.866265</v>
      </c>
      <c r="R179" s="82">
        <v>166179333.211895</v>
      </c>
    </row>
    <row r="180" spans="11:18" ht="15">
      <c r="K180" s="64">
        <f t="shared" si="4"/>
        <v>46599</v>
      </c>
      <c r="L180" s="82">
        <f>SUMIF('Covered Bond Series'!$G$5:$G$9,"&gt;"&amp;'Amortisation Profiles'!K180,'Covered Bond Series'!$E$5:$E$9)</f>
        <v>90000000</v>
      </c>
      <c r="N180" s="64">
        <f t="shared" si="5"/>
        <v>46599</v>
      </c>
      <c r="O180" s="82">
        <v>758132779.4994</v>
      </c>
      <c r="P180" s="82">
        <v>564666701.840814</v>
      </c>
      <c r="Q180" s="82">
        <v>358823739.620635</v>
      </c>
      <c r="R180" s="82">
        <v>163097961.543747</v>
      </c>
    </row>
    <row r="181" spans="11:18" ht="15">
      <c r="K181" s="64">
        <f t="shared" si="4"/>
        <v>46630</v>
      </c>
      <c r="L181" s="82">
        <f>SUMIF('Covered Bond Series'!$G$5:$G$9,"&gt;"&amp;'Amortisation Profiles'!K181,'Covered Bond Series'!$E$5:$E$9)</f>
        <v>90000000</v>
      </c>
      <c r="N181" s="64">
        <f t="shared" si="5"/>
        <v>46630</v>
      </c>
      <c r="O181" s="82">
        <v>750589793.3143</v>
      </c>
      <c r="P181" s="82">
        <v>558108192.438398</v>
      </c>
      <c r="Q181" s="82">
        <v>353738378.874037</v>
      </c>
      <c r="R181" s="82">
        <v>160063676.490993</v>
      </c>
    </row>
    <row r="182" spans="11:18" ht="15">
      <c r="K182" s="64">
        <f t="shared" si="4"/>
        <v>46660</v>
      </c>
      <c r="L182" s="82">
        <f>SUMIF('Covered Bond Series'!$G$5:$G$9,"&gt;"&amp;'Amortisation Profiles'!K182,'Covered Bond Series'!$E$5:$E$9)</f>
        <v>90000000</v>
      </c>
      <c r="N182" s="64">
        <f t="shared" si="5"/>
        <v>46660</v>
      </c>
      <c r="O182" s="82">
        <v>743049851.9452</v>
      </c>
      <c r="P182" s="82">
        <v>551572410.500376</v>
      </c>
      <c r="Q182" s="82">
        <v>348691300.499215</v>
      </c>
      <c r="R182" s="82">
        <v>157070621.334431</v>
      </c>
    </row>
    <row r="183" spans="11:18" ht="15">
      <c r="K183" s="64">
        <f t="shared" si="4"/>
        <v>46691</v>
      </c>
      <c r="L183" s="82">
        <f>SUMIF('Covered Bond Series'!$G$5:$G$9,"&gt;"&amp;'Amortisation Profiles'!K183,'Covered Bond Series'!$E$5:$E$9)</f>
        <v>90000000</v>
      </c>
      <c r="N183" s="64">
        <f t="shared" si="5"/>
        <v>46691</v>
      </c>
      <c r="O183" s="82">
        <v>735519396.0055</v>
      </c>
      <c r="P183" s="82">
        <v>545064066.858504</v>
      </c>
      <c r="Q183" s="82">
        <v>343685273.638928</v>
      </c>
      <c r="R183" s="82">
        <v>154119650.083403</v>
      </c>
    </row>
    <row r="184" spans="11:18" ht="15">
      <c r="K184" s="64">
        <f t="shared" si="4"/>
        <v>46721</v>
      </c>
      <c r="L184" s="82">
        <f>SUMIF('Covered Bond Series'!$G$5:$G$9,"&gt;"&amp;'Amortisation Profiles'!K184,'Covered Bond Series'!$E$5:$E$9)</f>
        <v>90000000</v>
      </c>
      <c r="N184" s="64">
        <f t="shared" si="5"/>
        <v>46721</v>
      </c>
      <c r="O184" s="82">
        <v>728000466.6299</v>
      </c>
      <c r="P184" s="82">
        <v>538584585.595107</v>
      </c>
      <c r="Q184" s="82">
        <v>338720970.391581</v>
      </c>
      <c r="R184" s="82">
        <v>151210663.338214</v>
      </c>
    </row>
    <row r="185" spans="11:18" ht="15">
      <c r="K185" s="64">
        <f t="shared" si="4"/>
        <v>46752</v>
      </c>
      <c r="L185" s="82">
        <f>SUMIF('Covered Bond Series'!$G$5:$G$9,"&gt;"&amp;'Amortisation Profiles'!K185,'Covered Bond Series'!$E$5:$E$9)</f>
        <v>90000000</v>
      </c>
      <c r="N185" s="64">
        <f t="shared" si="5"/>
        <v>46752</v>
      </c>
      <c r="O185" s="82">
        <v>720000566.8285</v>
      </c>
      <c r="P185" s="82">
        <v>531770131.041984</v>
      </c>
      <c r="Q185" s="82">
        <v>333569933.806662</v>
      </c>
      <c r="R185" s="82">
        <v>148241730.30496</v>
      </c>
    </row>
    <row r="186" spans="11:18" ht="15">
      <c r="K186" s="64">
        <f t="shared" si="4"/>
        <v>46783</v>
      </c>
      <c r="L186" s="82">
        <f>SUMIF('Covered Bond Series'!$G$5:$G$9,"&gt;"&amp;'Amortisation Profiles'!K186,'Covered Bond Series'!$E$5:$E$9)</f>
        <v>90000000</v>
      </c>
      <c r="N186" s="64">
        <f t="shared" si="5"/>
        <v>46783</v>
      </c>
      <c r="O186" s="82">
        <v>712497272.7271</v>
      </c>
      <c r="P186" s="82">
        <v>525343238.633965</v>
      </c>
      <c r="Q186" s="82">
        <v>328685768.430261</v>
      </c>
      <c r="R186" s="82">
        <v>145414501.762301</v>
      </c>
    </row>
    <row r="187" spans="11:18" ht="15">
      <c r="K187" s="64">
        <f t="shared" si="4"/>
        <v>46812</v>
      </c>
      <c r="L187" s="82">
        <f>SUMIF('Covered Bond Series'!$G$5:$G$9,"&gt;"&amp;'Amortisation Profiles'!K187,'Covered Bond Series'!$E$5:$E$9)</f>
        <v>90000000</v>
      </c>
      <c r="N187" s="64">
        <f t="shared" si="5"/>
        <v>46812</v>
      </c>
      <c r="O187" s="82">
        <v>704771650.6259</v>
      </c>
      <c r="P187" s="82">
        <v>518772810.921529</v>
      </c>
      <c r="Q187" s="82">
        <v>323735073.937959</v>
      </c>
      <c r="R187" s="82">
        <v>142580395.487252</v>
      </c>
    </row>
    <row r="188" spans="11:18" ht="15">
      <c r="K188" s="64">
        <f t="shared" si="4"/>
        <v>46843</v>
      </c>
      <c r="L188" s="82">
        <f>SUMIF('Covered Bond Series'!$G$5:$G$9,"&gt;"&amp;'Amortisation Profiles'!K188,'Covered Bond Series'!$E$5:$E$9)</f>
        <v>90000000</v>
      </c>
      <c r="N188" s="64">
        <f t="shared" si="5"/>
        <v>46843</v>
      </c>
      <c r="O188" s="82">
        <v>697280249.1144</v>
      </c>
      <c r="P188" s="82">
        <v>512395117.827982</v>
      </c>
      <c r="Q188" s="82">
        <v>318927762.221669</v>
      </c>
      <c r="R188" s="82">
        <v>139831697.006046</v>
      </c>
    </row>
    <row r="189" spans="11:18" ht="15">
      <c r="K189" s="64">
        <f t="shared" si="4"/>
        <v>46873</v>
      </c>
      <c r="L189" s="82">
        <f>SUMIF('Covered Bond Series'!$G$5:$G$9,"&gt;"&amp;'Amortisation Profiles'!K189,'Covered Bond Series'!$E$5:$E$9)</f>
        <v>90000000</v>
      </c>
      <c r="N189" s="64">
        <f t="shared" si="5"/>
        <v>46873</v>
      </c>
      <c r="O189" s="82">
        <v>689781135.045</v>
      </c>
      <c r="P189" s="82">
        <v>506031755.290814</v>
      </c>
      <c r="Q189" s="82">
        <v>314152057.046049</v>
      </c>
      <c r="R189" s="82">
        <v>137118625.776715</v>
      </c>
    </row>
    <row r="190" spans="11:18" ht="15">
      <c r="K190" s="64">
        <f t="shared" si="4"/>
        <v>46904</v>
      </c>
      <c r="L190" s="82">
        <f>SUMIF('Covered Bond Series'!$G$5:$G$9,"&gt;"&amp;'Amortisation Profiles'!K190,'Covered Bond Series'!$E$5:$E$9)</f>
        <v>90000000</v>
      </c>
      <c r="N190" s="64">
        <f t="shared" si="5"/>
        <v>46904</v>
      </c>
      <c r="O190" s="82">
        <v>682292544.2256</v>
      </c>
      <c r="P190" s="82">
        <v>499696058.506952</v>
      </c>
      <c r="Q190" s="82">
        <v>309416062.207921</v>
      </c>
      <c r="R190" s="82">
        <v>134444376.478518</v>
      </c>
    </row>
    <row r="191" spans="11:18" ht="15">
      <c r="K191" s="64">
        <f t="shared" si="4"/>
        <v>46934</v>
      </c>
      <c r="L191" s="82">
        <f>SUMIF('Covered Bond Series'!$G$5:$G$9,"&gt;"&amp;'Amortisation Profiles'!K191,'Covered Bond Series'!$E$5:$E$9)</f>
        <v>90000000</v>
      </c>
      <c r="N191" s="64">
        <f t="shared" si="5"/>
        <v>46934</v>
      </c>
      <c r="O191" s="82">
        <v>674786156.2295</v>
      </c>
      <c r="P191" s="82">
        <v>493367232.047096</v>
      </c>
      <c r="Q191" s="82">
        <v>304706716.068462</v>
      </c>
      <c r="R191" s="82">
        <v>131802927.163737</v>
      </c>
    </row>
    <row r="192" spans="11:18" ht="15">
      <c r="K192" s="64">
        <f t="shared" si="4"/>
        <v>46965</v>
      </c>
      <c r="L192" s="82">
        <f>SUMIF('Covered Bond Series'!$G$5:$G$9,"&gt;"&amp;'Amortisation Profiles'!K192,'Covered Bond Series'!$E$5:$E$9)</f>
        <v>90000000</v>
      </c>
      <c r="N192" s="64">
        <f t="shared" si="5"/>
        <v>46965</v>
      </c>
      <c r="O192" s="82">
        <v>666734721.903</v>
      </c>
      <c r="P192" s="82">
        <v>486660445.949901</v>
      </c>
      <c r="Q192" s="82">
        <v>299786843.306307</v>
      </c>
      <c r="R192" s="82">
        <v>129091854.719905</v>
      </c>
    </row>
    <row r="193" spans="11:18" ht="15">
      <c r="K193" s="64">
        <f t="shared" si="4"/>
        <v>46996</v>
      </c>
      <c r="L193" s="82">
        <f>SUMIF('Covered Bond Series'!$G$5:$G$9,"&gt;"&amp;'Amortisation Profiles'!K193,'Covered Bond Series'!$E$5:$E$9)</f>
        <v>90000000</v>
      </c>
      <c r="N193" s="64">
        <f t="shared" si="5"/>
        <v>46996</v>
      </c>
      <c r="O193" s="82">
        <v>658865084.9901</v>
      </c>
      <c r="P193" s="82">
        <v>480107301.112204</v>
      </c>
      <c r="Q193" s="82">
        <v>294984790.248788</v>
      </c>
      <c r="R193" s="82">
        <v>126453000.327426</v>
      </c>
    </row>
    <row r="194" spans="11:18" ht="15">
      <c r="K194" s="64">
        <f t="shared" si="4"/>
        <v>47026</v>
      </c>
      <c r="L194" s="82">
        <f>SUMIF('Covered Bond Series'!$G$5:$G$9,"&gt;"&amp;'Amortisation Profiles'!K194,'Covered Bond Series'!$E$5:$E$9)</f>
        <v>90000000</v>
      </c>
      <c r="N194" s="64">
        <f t="shared" si="5"/>
        <v>47026</v>
      </c>
      <c r="O194" s="82">
        <v>651159825.5089</v>
      </c>
      <c r="P194" s="82">
        <v>473694404.052415</v>
      </c>
      <c r="Q194" s="82">
        <v>290291528.237988</v>
      </c>
      <c r="R194" s="82">
        <v>123881689.088822</v>
      </c>
    </row>
    <row r="195" spans="11:18" ht="15">
      <c r="K195" s="64">
        <f t="shared" si="4"/>
        <v>47057</v>
      </c>
      <c r="L195" s="82">
        <f>SUMIF('Covered Bond Series'!$G$5:$G$9,"&gt;"&amp;'Amortisation Profiles'!K195,'Covered Bond Series'!$E$5:$E$9)</f>
        <v>90000000</v>
      </c>
      <c r="N195" s="64">
        <f t="shared" si="5"/>
        <v>47057</v>
      </c>
      <c r="O195" s="82">
        <v>643713975.5137</v>
      </c>
      <c r="P195" s="82">
        <v>467490116.617417</v>
      </c>
      <c r="Q195" s="82">
        <v>285748089.187152</v>
      </c>
      <c r="R195" s="82">
        <v>121394590.221495</v>
      </c>
    </row>
    <row r="196" spans="11:18" ht="15">
      <c r="K196" s="64">
        <f t="shared" si="4"/>
        <v>47087</v>
      </c>
      <c r="L196" s="82">
        <f>SUMIF('Covered Bond Series'!$G$5:$G$9,"&gt;"&amp;'Amortisation Profiles'!K196,'Covered Bond Series'!$E$5:$E$9)</f>
        <v>90000000</v>
      </c>
      <c r="N196" s="64">
        <f t="shared" si="5"/>
        <v>47087</v>
      </c>
      <c r="O196" s="82">
        <v>636293600.8951</v>
      </c>
      <c r="P196" s="82">
        <v>461323831.623214</v>
      </c>
      <c r="Q196" s="82">
        <v>281249388.030037</v>
      </c>
      <c r="R196" s="82">
        <v>118946269.658031</v>
      </c>
    </row>
    <row r="197" spans="11:18" ht="15">
      <c r="K197" s="64">
        <f t="shared" si="4"/>
        <v>47118</v>
      </c>
      <c r="L197" s="82">
        <f>SUMIF('Covered Bond Series'!$G$5:$G$9,"&gt;"&amp;'Amortisation Profiles'!K197,'Covered Bond Series'!$E$5:$E$9)</f>
        <v>90000000</v>
      </c>
      <c r="N197" s="64">
        <f t="shared" si="5"/>
        <v>47118</v>
      </c>
      <c r="O197" s="82">
        <v>626247380.0063</v>
      </c>
      <c r="P197" s="82">
        <v>453276387.603443</v>
      </c>
      <c r="Q197" s="82">
        <v>275628160.180955</v>
      </c>
      <c r="R197" s="82">
        <v>116044902.656133</v>
      </c>
    </row>
    <row r="198" spans="11:18" ht="15">
      <c r="K198" s="64">
        <f t="shared" si="4"/>
        <v>47149</v>
      </c>
      <c r="L198" s="82">
        <f>SUMIF('Covered Bond Series'!$G$5:$G$9,"&gt;"&amp;'Amortisation Profiles'!K198,'Covered Bond Series'!$E$5:$E$9)</f>
        <v>90000000</v>
      </c>
      <c r="N198" s="64">
        <f t="shared" si="5"/>
        <v>47149</v>
      </c>
      <c r="O198" s="82">
        <v>618785803.8355</v>
      </c>
      <c r="P198" s="82">
        <v>447122325.340038</v>
      </c>
      <c r="Q198" s="82">
        <v>271182486.839494</v>
      </c>
      <c r="R198" s="82">
        <v>113659924.782771</v>
      </c>
    </row>
    <row r="199" spans="11:18" ht="15">
      <c r="K199" s="64">
        <f aca="true" t="shared" si="6" ref="K199:K262">EOMONTH(K198,1)</f>
        <v>47177</v>
      </c>
      <c r="L199" s="82">
        <f>SUMIF('Covered Bond Series'!$G$5:$G$9,"&gt;"&amp;'Amortisation Profiles'!K199,'Covered Bond Series'!$E$5:$E$9)</f>
        <v>90000000</v>
      </c>
      <c r="N199" s="64">
        <f aca="true" t="shared" si="7" ref="N199:N262">EOMONTH(N198,1)</f>
        <v>47177</v>
      </c>
      <c r="O199" s="82">
        <v>611321995.7398</v>
      </c>
      <c r="P199" s="82">
        <v>440986074.437532</v>
      </c>
      <c r="Q199" s="82">
        <v>266768749.965202</v>
      </c>
      <c r="R199" s="82">
        <v>111307369.96864</v>
      </c>
    </row>
    <row r="200" spans="11:18" ht="15">
      <c r="K200" s="64">
        <f t="shared" si="6"/>
        <v>47208</v>
      </c>
      <c r="L200" s="82">
        <f>SUMIF('Covered Bond Series'!$G$5:$G$9,"&gt;"&amp;'Amortisation Profiles'!K200,'Covered Bond Series'!$E$5:$E$9)</f>
        <v>90000000</v>
      </c>
      <c r="N200" s="64">
        <f t="shared" si="7"/>
        <v>47208</v>
      </c>
      <c r="O200" s="82">
        <v>603968552.6309</v>
      </c>
      <c r="P200" s="82">
        <v>434948682.167186</v>
      </c>
      <c r="Q200" s="82">
        <v>262435687.103104</v>
      </c>
      <c r="R200" s="82">
        <v>109007179.062022</v>
      </c>
    </row>
    <row r="201" spans="11:18" ht="15">
      <c r="K201" s="64">
        <f t="shared" si="6"/>
        <v>47238</v>
      </c>
      <c r="L201" s="82">
        <f>SUMIF('Covered Bond Series'!$G$5:$G$9,"&gt;"&amp;'Amortisation Profiles'!K201,'Covered Bond Series'!$E$5:$E$9)</f>
        <v>90000000</v>
      </c>
      <c r="N201" s="64">
        <f t="shared" si="7"/>
        <v>47238</v>
      </c>
      <c r="O201" s="82">
        <v>596626397.6724</v>
      </c>
      <c r="P201" s="82">
        <v>428938468.98358</v>
      </c>
      <c r="Q201" s="82">
        <v>258139618.688159</v>
      </c>
      <c r="R201" s="82">
        <v>106740717.086434</v>
      </c>
    </row>
    <row r="202" spans="11:18" ht="15">
      <c r="K202" s="64">
        <f t="shared" si="6"/>
        <v>47269</v>
      </c>
      <c r="L202" s="82">
        <f>SUMIF('Covered Bond Series'!$G$5:$G$9,"&gt;"&amp;'Amortisation Profiles'!K202,'Covered Bond Series'!$E$5:$E$9)</f>
        <v>90000000</v>
      </c>
      <c r="N202" s="64">
        <f t="shared" si="7"/>
        <v>47269</v>
      </c>
      <c r="O202" s="82">
        <v>589141878.9316</v>
      </c>
      <c r="P202" s="82">
        <v>422845065.879423</v>
      </c>
      <c r="Q202" s="82">
        <v>253814090.731049</v>
      </c>
      <c r="R202" s="82">
        <v>104480302.528891</v>
      </c>
    </row>
    <row r="203" spans="11:18" ht="15">
      <c r="K203" s="64">
        <f t="shared" si="6"/>
        <v>47299</v>
      </c>
      <c r="L203" s="82">
        <f>SUMIF('Covered Bond Series'!$G$5:$G$9,"&gt;"&amp;'Amortisation Profiles'!K203,'Covered Bond Series'!$E$5:$E$9)</f>
        <v>90000000</v>
      </c>
      <c r="N203" s="64">
        <f t="shared" si="7"/>
        <v>47299</v>
      </c>
      <c r="O203" s="82">
        <v>581821328.7711</v>
      </c>
      <c r="P203" s="82">
        <v>416888436.682721</v>
      </c>
      <c r="Q203" s="82">
        <v>249591105.332845</v>
      </c>
      <c r="R203" s="82">
        <v>102280075.539344</v>
      </c>
    </row>
    <row r="204" spans="11:18" ht="15">
      <c r="K204" s="64">
        <f t="shared" si="6"/>
        <v>47330</v>
      </c>
      <c r="L204" s="82">
        <f>SUMIF('Covered Bond Series'!$G$5:$G$9,"&gt;"&amp;'Amortisation Profiles'!K204,'Covered Bond Series'!$E$5:$E$9)</f>
        <v>90000000</v>
      </c>
      <c r="N204" s="64">
        <f t="shared" si="7"/>
        <v>47330</v>
      </c>
      <c r="O204" s="82">
        <v>574510097.9027</v>
      </c>
      <c r="P204" s="82">
        <v>410957317.119357</v>
      </c>
      <c r="Q204" s="82">
        <v>245403507.898347</v>
      </c>
      <c r="R204" s="82">
        <v>100111955.714314</v>
      </c>
    </row>
    <row r="205" spans="11:18" ht="15">
      <c r="K205" s="64">
        <f t="shared" si="6"/>
        <v>47361</v>
      </c>
      <c r="L205" s="82">
        <f>SUMIF('Covered Bond Series'!$G$5:$G$9,"&gt;"&amp;'Amortisation Profiles'!K205,'Covered Bond Series'!$E$5:$E$9)</f>
        <v>90000000</v>
      </c>
      <c r="N205" s="64">
        <f t="shared" si="7"/>
        <v>47361</v>
      </c>
      <c r="O205" s="82">
        <v>567209230.9572</v>
      </c>
      <c r="P205" s="82">
        <v>405052372.661776</v>
      </c>
      <c r="Q205" s="82">
        <v>241251500.951115</v>
      </c>
      <c r="R205" s="82">
        <v>97975715.789539</v>
      </c>
    </row>
    <row r="206" spans="11:18" ht="15">
      <c r="K206" s="64">
        <f t="shared" si="6"/>
        <v>47391</v>
      </c>
      <c r="L206" s="82">
        <f>SUMIF('Covered Bond Series'!$G$5:$G$9,"&gt;"&amp;'Amortisation Profiles'!K206,'Covered Bond Series'!$E$5:$E$9)</f>
        <v>90000000</v>
      </c>
      <c r="N206" s="64">
        <f t="shared" si="7"/>
        <v>47391</v>
      </c>
      <c r="O206" s="82">
        <v>559924951.4599</v>
      </c>
      <c r="P206" s="82">
        <v>399177956.656041</v>
      </c>
      <c r="Q206" s="82">
        <v>237137473.622565</v>
      </c>
      <c r="R206" s="82">
        <v>95872014.28592</v>
      </c>
    </row>
    <row r="207" spans="11:18" ht="15">
      <c r="K207" s="64">
        <f t="shared" si="6"/>
        <v>47422</v>
      </c>
      <c r="L207" s="82">
        <f>SUMIF('Covered Bond Series'!$G$5:$G$9,"&gt;"&amp;'Amortisation Profiles'!K207,'Covered Bond Series'!$E$5:$E$9)</f>
        <v>90000000</v>
      </c>
      <c r="N207" s="64">
        <f t="shared" si="7"/>
        <v>47422</v>
      </c>
      <c r="O207" s="82">
        <v>552662061.3641</v>
      </c>
      <c r="P207" s="82">
        <v>393337381.055233</v>
      </c>
      <c r="Q207" s="82">
        <v>233063172.611399</v>
      </c>
      <c r="R207" s="82">
        <v>93801235.42813</v>
      </c>
    </row>
    <row r="208" spans="11:18" ht="15">
      <c r="K208" s="64">
        <f t="shared" si="6"/>
        <v>47452</v>
      </c>
      <c r="L208" s="82">
        <f>SUMIF('Covered Bond Series'!$G$5:$G$9,"&gt;"&amp;'Amortisation Profiles'!K208,'Covered Bond Series'!$E$5:$E$9)</f>
        <v>90000000</v>
      </c>
      <c r="N208" s="64">
        <f t="shared" si="7"/>
        <v>47452</v>
      </c>
      <c r="O208" s="82">
        <v>545128620.2946</v>
      </c>
      <c r="P208" s="82">
        <v>387323094.122225</v>
      </c>
      <c r="Q208" s="82">
        <v>228905706.319244</v>
      </c>
      <c r="R208" s="82">
        <v>91713816.618387</v>
      </c>
    </row>
    <row r="209" spans="11:18" ht="15">
      <c r="K209" s="64">
        <f t="shared" si="6"/>
        <v>47483</v>
      </c>
      <c r="L209" s="82">
        <f>SUMIF('Covered Bond Series'!$G$5:$G$9,"&gt;"&amp;'Amortisation Profiles'!K209,'Covered Bond Series'!$E$5:$E$9)</f>
        <v>90000000</v>
      </c>
      <c r="N209" s="64">
        <f t="shared" si="7"/>
        <v>47483</v>
      </c>
      <c r="O209" s="82">
        <v>537454350.3544</v>
      </c>
      <c r="P209" s="82">
        <v>381228035.078142</v>
      </c>
      <c r="Q209" s="82">
        <v>224720582.268302</v>
      </c>
      <c r="R209" s="82">
        <v>89632238.025704</v>
      </c>
    </row>
    <row r="210" spans="11:18" ht="15">
      <c r="K210" s="64">
        <f t="shared" si="6"/>
        <v>47514</v>
      </c>
      <c r="L210" s="82">
        <f>SUMIF('Covered Bond Series'!$G$5:$G$9,"&gt;"&amp;'Amortisation Profiles'!K210,'Covered Bond Series'!$E$5:$E$9)</f>
        <v>90000000</v>
      </c>
      <c r="N210" s="64">
        <f t="shared" si="7"/>
        <v>47514</v>
      </c>
      <c r="O210" s="82">
        <v>530324647.0735</v>
      </c>
      <c r="P210" s="82">
        <v>375538008.512329</v>
      </c>
      <c r="Q210" s="82">
        <v>220793718.495526</v>
      </c>
      <c r="R210" s="82">
        <v>87670068.553972</v>
      </c>
    </row>
    <row r="211" spans="11:18" ht="15">
      <c r="K211" s="64">
        <f t="shared" si="6"/>
        <v>47542</v>
      </c>
      <c r="L211" s="82">
        <f>SUMIF('Covered Bond Series'!$G$5:$G$9,"&gt;"&amp;'Amortisation Profiles'!K211,'Covered Bond Series'!$E$5:$E$9)</f>
        <v>90000000</v>
      </c>
      <c r="N211" s="64">
        <f t="shared" si="7"/>
        <v>47542</v>
      </c>
      <c r="O211" s="82">
        <v>523248878.7991</v>
      </c>
      <c r="P211" s="82">
        <v>369904175.245458</v>
      </c>
      <c r="Q211" s="82">
        <v>216918624.489735</v>
      </c>
      <c r="R211" s="82">
        <v>85744193.079096</v>
      </c>
    </row>
    <row r="212" spans="11:18" ht="15">
      <c r="K212" s="64">
        <f t="shared" si="6"/>
        <v>47573</v>
      </c>
      <c r="L212" s="82">
        <f>SUMIF('Covered Bond Series'!$G$5:$G$9,"&gt;"&amp;'Amortisation Profiles'!K212,'Covered Bond Series'!$E$5:$E$9)</f>
        <v>90000000</v>
      </c>
      <c r="N212" s="64">
        <f t="shared" si="7"/>
        <v>47573</v>
      </c>
      <c r="O212" s="82">
        <v>516199949.6508</v>
      </c>
      <c r="P212" s="82">
        <v>364307174.465944</v>
      </c>
      <c r="Q212" s="82">
        <v>213083649.93481</v>
      </c>
      <c r="R212" s="82">
        <v>83849648.080259</v>
      </c>
    </row>
    <row r="213" spans="11:18" ht="15">
      <c r="K213" s="64">
        <f t="shared" si="6"/>
        <v>47603</v>
      </c>
      <c r="L213" s="82">
        <f>SUMIF('Covered Bond Series'!$G$5:$G$9,"&gt;"&amp;'Amortisation Profiles'!K213,'Covered Bond Series'!$E$5:$E$9)</f>
        <v>90000000</v>
      </c>
      <c r="N213" s="64">
        <f t="shared" si="7"/>
        <v>47603</v>
      </c>
      <c r="O213" s="82">
        <v>508923462.1166</v>
      </c>
      <c r="P213" s="82">
        <v>358567628.481568</v>
      </c>
      <c r="Q213" s="82">
        <v>209183909.908464</v>
      </c>
      <c r="R213" s="82">
        <v>81945032.906174</v>
      </c>
    </row>
    <row r="214" spans="11:18" ht="15">
      <c r="K214" s="64">
        <f t="shared" si="6"/>
        <v>47634</v>
      </c>
      <c r="L214" s="82">
        <f>SUMIF('Covered Bond Series'!$G$5:$G$9,"&gt;"&amp;'Amortisation Profiles'!K214,'Covered Bond Series'!$E$5:$E$9)</f>
        <v>90000000</v>
      </c>
      <c r="N214" s="64">
        <f t="shared" si="7"/>
        <v>47634</v>
      </c>
      <c r="O214" s="82">
        <v>501177039.64</v>
      </c>
      <c r="P214" s="82">
        <v>352515820.243144</v>
      </c>
      <c r="Q214" s="82">
        <v>205121226.079748</v>
      </c>
      <c r="R214" s="82">
        <v>79992303.472771</v>
      </c>
    </row>
    <row r="215" spans="11:18" ht="15">
      <c r="K215" s="64">
        <f t="shared" si="6"/>
        <v>47664</v>
      </c>
      <c r="L215" s="82">
        <f>SUMIF('Covered Bond Series'!$G$5:$G$9,"&gt;"&amp;'Amortisation Profiles'!K215,'Covered Bond Series'!$E$5:$E$9)</f>
        <v>90000000</v>
      </c>
      <c r="N215" s="64">
        <f t="shared" si="7"/>
        <v>47664</v>
      </c>
      <c r="O215" s="82">
        <v>494224671.0915</v>
      </c>
      <c r="P215" s="82">
        <v>347040935.937141</v>
      </c>
      <c r="Q215" s="82">
        <v>201412997.313043</v>
      </c>
      <c r="R215" s="82">
        <v>78193082.21429</v>
      </c>
    </row>
    <row r="216" spans="11:18" ht="15">
      <c r="K216" s="64">
        <f t="shared" si="6"/>
        <v>47695</v>
      </c>
      <c r="L216" s="82">
        <f>SUMIF('Covered Bond Series'!$G$5:$G$9,"&gt;"&amp;'Amortisation Profiles'!K216,'Covered Bond Series'!$E$5:$E$9)</f>
        <v>90000000</v>
      </c>
      <c r="N216" s="64">
        <f t="shared" si="7"/>
        <v>47695</v>
      </c>
      <c r="O216" s="82">
        <v>487249942.4633</v>
      </c>
      <c r="P216" s="82">
        <v>341567798.910863</v>
      </c>
      <c r="Q216" s="82">
        <v>197723596.736144</v>
      </c>
      <c r="R216" s="82">
        <v>76415697.902985</v>
      </c>
    </row>
    <row r="217" spans="11:18" ht="15">
      <c r="K217" s="64">
        <f t="shared" si="6"/>
        <v>47726</v>
      </c>
      <c r="L217" s="82">
        <f>SUMIF('Covered Bond Series'!$G$5:$G$9,"&gt;"&amp;'Amortisation Profiles'!K217,'Covered Bond Series'!$E$5:$E$9)</f>
        <v>90000000</v>
      </c>
      <c r="N217" s="64">
        <f t="shared" si="7"/>
        <v>47726</v>
      </c>
      <c r="O217" s="82">
        <v>480361754.1425</v>
      </c>
      <c r="P217" s="82">
        <v>336172656.342366</v>
      </c>
      <c r="Q217" s="82">
        <v>194096972.52661</v>
      </c>
      <c r="R217" s="82">
        <v>74676866.329485</v>
      </c>
    </row>
    <row r="218" spans="11:18" ht="15">
      <c r="K218" s="64">
        <f t="shared" si="6"/>
        <v>47756</v>
      </c>
      <c r="L218" s="82">
        <f>SUMIF('Covered Bond Series'!$G$5:$G$9,"&gt;"&amp;'Amortisation Profiles'!K218,'Covered Bond Series'!$E$5:$E$9)</f>
        <v>90000000</v>
      </c>
      <c r="N218" s="64">
        <f t="shared" si="7"/>
        <v>47756</v>
      </c>
      <c r="O218" s="82">
        <v>473458523.044</v>
      </c>
      <c r="P218" s="82">
        <v>330784188.56369</v>
      </c>
      <c r="Q218" s="82">
        <v>190491635.949782</v>
      </c>
      <c r="R218" s="82">
        <v>72960277.512125</v>
      </c>
    </row>
    <row r="219" spans="11:18" ht="15">
      <c r="K219" s="64">
        <f t="shared" si="6"/>
        <v>47787</v>
      </c>
      <c r="L219" s="82">
        <f>SUMIF('Covered Bond Series'!$G$5:$G$9,"&gt;"&amp;'Amortisation Profiles'!K219,'Covered Bond Series'!$E$5:$E$9)</f>
        <v>90000000</v>
      </c>
      <c r="N219" s="64">
        <f t="shared" si="7"/>
        <v>47787</v>
      </c>
      <c r="O219" s="82">
        <v>465955200.7792</v>
      </c>
      <c r="P219" s="82">
        <v>324994346.305854</v>
      </c>
      <c r="Q219" s="82">
        <v>186673113.134355</v>
      </c>
      <c r="R219" s="82">
        <v>71176327.834373</v>
      </c>
    </row>
    <row r="220" spans="11:18" ht="15">
      <c r="K220" s="64">
        <f t="shared" si="6"/>
        <v>47817</v>
      </c>
      <c r="L220" s="82">
        <f>SUMIF('Covered Bond Series'!$G$5:$G$9,"&gt;"&amp;'Amortisation Profiles'!K220,'Covered Bond Series'!$E$5:$E$9)</f>
        <v>90000000</v>
      </c>
      <c r="N220" s="64">
        <f t="shared" si="7"/>
        <v>47817</v>
      </c>
      <c r="O220" s="82">
        <v>459162379.7917</v>
      </c>
      <c r="P220" s="82">
        <v>319717773.480873</v>
      </c>
      <c r="Q220" s="82">
        <v>183167128.982835</v>
      </c>
      <c r="R220" s="82">
        <v>69525575.033792</v>
      </c>
    </row>
    <row r="221" spans="11:18" ht="15">
      <c r="K221" s="64">
        <f t="shared" si="6"/>
        <v>47848</v>
      </c>
      <c r="L221" s="82">
        <f>SUMIF('Covered Bond Series'!$G$5:$G$9,"&gt;"&amp;'Amortisation Profiles'!K221,'Covered Bond Series'!$E$5:$E$9)</f>
        <v>90000000</v>
      </c>
      <c r="N221" s="64">
        <f t="shared" si="7"/>
        <v>47848</v>
      </c>
      <c r="O221" s="82">
        <v>452420158.2097</v>
      </c>
      <c r="P221" s="82">
        <v>314493206.568442</v>
      </c>
      <c r="Q221" s="82">
        <v>179707755.996735</v>
      </c>
      <c r="R221" s="82">
        <v>67905838.060707</v>
      </c>
    </row>
    <row r="222" spans="11:18" ht="15">
      <c r="K222" s="64">
        <f t="shared" si="6"/>
        <v>47879</v>
      </c>
      <c r="L222" s="82">
        <f>SUMIF('Covered Bond Series'!$G$5:$G$9,"&gt;"&amp;'Amortisation Profiles'!K222,'Covered Bond Series'!$E$5:$E$9)</f>
        <v>90000000</v>
      </c>
      <c r="N222" s="64">
        <f t="shared" si="7"/>
        <v>47879</v>
      </c>
      <c r="O222" s="82">
        <v>445386956.973</v>
      </c>
      <c r="P222" s="82">
        <v>309083381.822603</v>
      </c>
      <c r="Q222" s="82">
        <v>176159472.82747</v>
      </c>
      <c r="R222" s="82">
        <v>66265813.875988</v>
      </c>
    </row>
    <row r="223" spans="11:18" ht="15">
      <c r="K223" s="64">
        <f t="shared" si="6"/>
        <v>47907</v>
      </c>
      <c r="L223" s="82">
        <f>SUMIF('Covered Bond Series'!$G$5:$G$9,"&gt;"&amp;'Amortisation Profiles'!K223,'Covered Bond Series'!$E$5:$E$9)</f>
        <v>90000000</v>
      </c>
      <c r="N223" s="64">
        <f t="shared" si="7"/>
        <v>47907</v>
      </c>
      <c r="O223" s="82">
        <v>438729999.2771</v>
      </c>
      <c r="P223" s="82">
        <v>303951528.399716</v>
      </c>
      <c r="Q223" s="82">
        <v>172786366.722118</v>
      </c>
      <c r="R223" s="82">
        <v>64704762.836565</v>
      </c>
    </row>
    <row r="224" spans="11:18" ht="15">
      <c r="K224" s="64">
        <f t="shared" si="6"/>
        <v>47938</v>
      </c>
      <c r="L224" s="82">
        <f>SUMIF('Covered Bond Series'!$G$5:$G$9,"&gt;"&amp;'Amortisation Profiles'!K224,'Covered Bond Series'!$E$5:$E$9)</f>
        <v>90000000</v>
      </c>
      <c r="N224" s="64">
        <f t="shared" si="7"/>
        <v>47938</v>
      </c>
      <c r="O224" s="82">
        <v>432099754.0012</v>
      </c>
      <c r="P224" s="82">
        <v>298854540.76426</v>
      </c>
      <c r="Q224" s="82">
        <v>169449305.571781</v>
      </c>
      <c r="R224" s="82">
        <v>63169845.262362</v>
      </c>
    </row>
    <row r="225" spans="11:18" ht="15">
      <c r="K225" s="64">
        <f t="shared" si="6"/>
        <v>47968</v>
      </c>
      <c r="L225" s="82">
        <f>SUMIF('Covered Bond Series'!$G$5:$G$9,"&gt;"&amp;'Amortisation Profiles'!K225,'Covered Bond Series'!$E$5:$E$9)</f>
        <v>90000000</v>
      </c>
      <c r="N225" s="64">
        <f t="shared" si="7"/>
        <v>47968</v>
      </c>
      <c r="O225" s="82">
        <v>425499145.4052</v>
      </c>
      <c r="P225" s="82">
        <v>293794303.871111</v>
      </c>
      <c r="Q225" s="82">
        <v>166149140.747852</v>
      </c>
      <c r="R225" s="82">
        <v>61661113.344586</v>
      </c>
    </row>
    <row r="226" spans="11:18" ht="15">
      <c r="K226" s="64">
        <f t="shared" si="6"/>
        <v>47999</v>
      </c>
      <c r="L226" s="82">
        <f>SUMIF('Covered Bond Series'!$G$5:$G$9,"&gt;"&amp;'Amortisation Profiles'!K226,'Covered Bond Series'!$E$5:$E$9)</f>
        <v>90000000</v>
      </c>
      <c r="N226" s="64">
        <f t="shared" si="7"/>
        <v>47999</v>
      </c>
      <c r="O226" s="82">
        <v>418936041.716</v>
      </c>
      <c r="P226" s="82">
        <v>288776097.845898</v>
      </c>
      <c r="Q226" s="82">
        <v>162888628.37108</v>
      </c>
      <c r="R226" s="82">
        <v>60179319.074251</v>
      </c>
    </row>
    <row r="227" spans="11:18" ht="15">
      <c r="K227" s="64">
        <f t="shared" si="6"/>
        <v>48029</v>
      </c>
      <c r="L227" s="82">
        <f>SUMIF('Covered Bond Series'!$G$5:$G$9,"&gt;"&amp;'Amortisation Profiles'!K227,'Covered Bond Series'!$E$5:$E$9)</f>
        <v>90000000</v>
      </c>
      <c r="N227" s="64">
        <f t="shared" si="7"/>
        <v>48029</v>
      </c>
      <c r="O227" s="82">
        <v>412311284.6155</v>
      </c>
      <c r="P227" s="82">
        <v>283731516.559237</v>
      </c>
      <c r="Q227" s="82">
        <v>159629037.979548</v>
      </c>
      <c r="R227" s="82">
        <v>58709940.58764</v>
      </c>
    </row>
    <row r="228" spans="11:18" ht="15">
      <c r="K228" s="64">
        <f t="shared" si="6"/>
        <v>48060</v>
      </c>
      <c r="L228" s="82">
        <f>SUMIF('Covered Bond Series'!$G$5:$G$9,"&gt;"&amp;'Amortisation Profiles'!K228,'Covered Bond Series'!$E$5:$E$9)</f>
        <v>90000000</v>
      </c>
      <c r="N228" s="64">
        <f t="shared" si="7"/>
        <v>48060</v>
      </c>
      <c r="O228" s="82">
        <v>405805619.2745</v>
      </c>
      <c r="P228" s="82">
        <v>278784904.36694</v>
      </c>
      <c r="Q228" s="82">
        <v>156440201.173683</v>
      </c>
      <c r="R228" s="82">
        <v>57278462.443939</v>
      </c>
    </row>
    <row r="229" spans="11:18" ht="15">
      <c r="K229" s="64">
        <f t="shared" si="6"/>
        <v>48091</v>
      </c>
      <c r="L229" s="82">
        <f>SUMIF('Covered Bond Series'!$G$5:$G$9,"&gt;"&amp;'Amortisation Profiles'!K229,'Covered Bond Series'!$E$5:$E$9)</f>
        <v>90000000</v>
      </c>
      <c r="N229" s="64">
        <f t="shared" si="7"/>
        <v>48091</v>
      </c>
      <c r="O229" s="82">
        <v>399339982.8193</v>
      </c>
      <c r="P229" s="82">
        <v>273881584.308324</v>
      </c>
      <c r="Q229" s="82">
        <v>153291028.37272</v>
      </c>
      <c r="R229" s="82">
        <v>55873125.369365</v>
      </c>
    </row>
    <row r="230" spans="11:18" ht="15">
      <c r="K230" s="64">
        <f t="shared" si="6"/>
        <v>48121</v>
      </c>
      <c r="L230" s="82">
        <f>SUMIF('Covered Bond Series'!$G$5:$G$9,"&gt;"&amp;'Amortisation Profiles'!K230,'Covered Bond Series'!$E$5:$E$9)</f>
        <v>90000000</v>
      </c>
      <c r="N230" s="64">
        <f t="shared" si="7"/>
        <v>48121</v>
      </c>
      <c r="O230" s="82">
        <v>392794266.7397</v>
      </c>
      <c r="P230" s="82">
        <v>268939142.536187</v>
      </c>
      <c r="Q230" s="82">
        <v>150135265.795413</v>
      </c>
      <c r="R230" s="82">
        <v>54476874.887455</v>
      </c>
    </row>
    <row r="231" spans="11:18" ht="15">
      <c r="K231" s="64">
        <f t="shared" si="6"/>
        <v>48152</v>
      </c>
      <c r="L231" s="82">
        <f>SUMIF('Covered Bond Series'!$G$5:$G$9,"&gt;"&amp;'Amortisation Profiles'!K231,'Covered Bond Series'!$E$5:$E$9)</f>
        <v>90000000</v>
      </c>
      <c r="N231" s="64">
        <f t="shared" si="7"/>
        <v>48152</v>
      </c>
      <c r="O231" s="82">
        <v>386569595.44</v>
      </c>
      <c r="P231" s="82">
        <v>264231997.523857</v>
      </c>
      <c r="Q231" s="82">
        <v>147125822.362059</v>
      </c>
      <c r="R231" s="82">
        <v>53144902.593198</v>
      </c>
    </row>
    <row r="232" spans="11:18" ht="15">
      <c r="K232" s="64">
        <f t="shared" si="6"/>
        <v>48182</v>
      </c>
      <c r="L232" s="82">
        <f>SUMIF('Covered Bond Series'!$G$5:$G$9,"&gt;"&amp;'Amortisation Profiles'!K232,'Covered Bond Series'!$E$5:$E$9)</f>
        <v>90000000</v>
      </c>
      <c r="N232" s="64">
        <f t="shared" si="7"/>
        <v>48182</v>
      </c>
      <c r="O232" s="82">
        <v>380301023.0516</v>
      </c>
      <c r="P232" s="82">
        <v>259509970.315176</v>
      </c>
      <c r="Q232" s="82">
        <v>144122682.889176</v>
      </c>
      <c r="R232" s="82">
        <v>51826071.831636</v>
      </c>
    </row>
    <row r="233" spans="11:18" ht="15">
      <c r="K233" s="64">
        <f t="shared" si="6"/>
        <v>48213</v>
      </c>
      <c r="L233" s="82">
        <f>SUMIF('Covered Bond Series'!$G$5:$G$9,"&gt;"&amp;'Amortisation Profiles'!K233,'Covered Bond Series'!$E$5:$E$9)</f>
        <v>90000000</v>
      </c>
      <c r="N233" s="64">
        <f t="shared" si="7"/>
        <v>48213</v>
      </c>
      <c r="O233" s="82">
        <v>374120051.1286</v>
      </c>
      <c r="P233" s="82">
        <v>254862758.307067</v>
      </c>
      <c r="Q233" s="82">
        <v>141175541.76552</v>
      </c>
      <c r="R233" s="82">
        <v>50538070.707116</v>
      </c>
    </row>
    <row r="234" spans="11:18" ht="15">
      <c r="K234" s="64">
        <f t="shared" si="6"/>
        <v>48244</v>
      </c>
      <c r="L234" s="82">
        <f>SUMIF('Covered Bond Series'!$G$5:$G$9,"&gt;"&amp;'Amortisation Profiles'!K234,'Covered Bond Series'!$E$5:$E$9)</f>
        <v>90000000</v>
      </c>
      <c r="N234" s="64">
        <f t="shared" si="7"/>
        <v>48244</v>
      </c>
      <c r="O234" s="82">
        <v>368421539.1972</v>
      </c>
      <c r="P234" s="82">
        <v>250558560.801507</v>
      </c>
      <c r="Q234" s="82">
        <v>138432201.24519</v>
      </c>
      <c r="R234" s="82">
        <v>49333231.258496</v>
      </c>
    </row>
    <row r="235" spans="11:18" ht="15">
      <c r="K235" s="64">
        <f t="shared" si="6"/>
        <v>48273</v>
      </c>
      <c r="L235" s="82">
        <f>SUMIF('Covered Bond Series'!$G$5:$G$9,"&gt;"&amp;'Amortisation Profiles'!K235,'Covered Bond Series'!$E$5:$E$9)</f>
        <v>90000000</v>
      </c>
      <c r="N235" s="64">
        <f t="shared" si="7"/>
        <v>48273</v>
      </c>
      <c r="O235" s="82">
        <v>363086921.5963</v>
      </c>
      <c r="P235" s="82">
        <v>246515186.199413</v>
      </c>
      <c r="Q235" s="82">
        <v>135845842.632165</v>
      </c>
      <c r="R235" s="82">
        <v>48193895.578084</v>
      </c>
    </row>
    <row r="236" spans="11:18" ht="15">
      <c r="K236" s="64">
        <f t="shared" si="6"/>
        <v>48304</v>
      </c>
      <c r="L236" s="82">
        <f>SUMIF('Covered Bond Series'!$G$5:$G$9,"&gt;"&amp;'Amortisation Profiles'!K236,'Covered Bond Series'!$E$5:$E$9)</f>
        <v>90000000</v>
      </c>
      <c r="N236" s="64">
        <f t="shared" si="7"/>
        <v>48304</v>
      </c>
      <c r="O236" s="82">
        <v>357904877.7879</v>
      </c>
      <c r="P236" s="82">
        <v>242588120.149082</v>
      </c>
      <c r="Q236" s="82">
        <v>133335869.543176</v>
      </c>
      <c r="R236" s="82">
        <v>47090783.837241</v>
      </c>
    </row>
    <row r="237" spans="11:18" ht="15">
      <c r="K237" s="64">
        <f t="shared" si="6"/>
        <v>48334</v>
      </c>
      <c r="L237" s="82">
        <f>SUMIF('Covered Bond Series'!$G$5:$G$9,"&gt;"&amp;'Amortisation Profiles'!K237,'Covered Bond Series'!$E$5:$E$9)</f>
        <v>90000000</v>
      </c>
      <c r="N237" s="64">
        <f t="shared" si="7"/>
        <v>48334</v>
      </c>
      <c r="O237" s="82">
        <v>352402297.5234</v>
      </c>
      <c r="P237" s="82">
        <v>238456674.317068</v>
      </c>
      <c r="Q237" s="82">
        <v>130725931.338894</v>
      </c>
      <c r="R237" s="82">
        <v>45961469.865779</v>
      </c>
    </row>
    <row r="238" spans="11:18" ht="15">
      <c r="K238" s="64">
        <f t="shared" si="6"/>
        <v>48365</v>
      </c>
      <c r="L238" s="82">
        <f>SUMIF('Covered Bond Series'!$G$5:$G$9,"&gt;"&amp;'Amortisation Profiles'!K238,'Covered Bond Series'!$E$5:$E$9)</f>
        <v>90000000</v>
      </c>
      <c r="N238" s="64">
        <f t="shared" si="7"/>
        <v>48365</v>
      </c>
      <c r="O238" s="82">
        <v>347053543.0389</v>
      </c>
      <c r="P238" s="82">
        <v>234442353.823488</v>
      </c>
      <c r="Q238" s="82">
        <v>128192651.193229</v>
      </c>
      <c r="R238" s="82">
        <v>44868188.450764</v>
      </c>
    </row>
    <row r="239" spans="11:18" ht="15">
      <c r="K239" s="64">
        <f t="shared" si="6"/>
        <v>48395</v>
      </c>
      <c r="L239" s="82">
        <f>SUMIF('Covered Bond Series'!$G$5:$G$9,"&gt;"&amp;'Amortisation Profiles'!K239,'Covered Bond Series'!$E$5:$E$9)</f>
        <v>90000000</v>
      </c>
      <c r="N239" s="64">
        <f t="shared" si="7"/>
        <v>48395</v>
      </c>
      <c r="O239" s="82">
        <v>342356013.6849</v>
      </c>
      <c r="P239" s="82">
        <v>230880041.020823</v>
      </c>
      <c r="Q239" s="82">
        <v>125918123.131901</v>
      </c>
      <c r="R239" s="82">
        <v>43873965.627782</v>
      </c>
    </row>
    <row r="240" spans="11:18" ht="15">
      <c r="K240" s="64">
        <f t="shared" si="6"/>
        <v>48426</v>
      </c>
      <c r="L240" s="82">
        <f>SUMIF('Covered Bond Series'!$G$5:$G$9,"&gt;"&amp;'Amortisation Profiles'!K240,'Covered Bond Series'!$E$5:$E$9)</f>
        <v>90000000</v>
      </c>
      <c r="N240" s="64">
        <f t="shared" si="7"/>
        <v>48426</v>
      </c>
      <c r="O240" s="82">
        <v>337669289.0966</v>
      </c>
      <c r="P240" s="82">
        <v>227336323.984976</v>
      </c>
      <c r="Q240" s="82">
        <v>123664623.070509</v>
      </c>
      <c r="R240" s="82">
        <v>42895068.852234</v>
      </c>
    </row>
    <row r="241" spans="11:18" ht="15">
      <c r="K241" s="64">
        <f t="shared" si="6"/>
        <v>48457</v>
      </c>
      <c r="L241" s="82">
        <f>SUMIF('Covered Bond Series'!$G$5:$G$9,"&gt;"&amp;'Amortisation Profiles'!K241,'Covered Bond Series'!$E$5:$E$9)</f>
        <v>90000000</v>
      </c>
      <c r="N241" s="64">
        <f t="shared" si="7"/>
        <v>48457</v>
      </c>
      <c r="O241" s="82">
        <v>333020069.4237</v>
      </c>
      <c r="P241" s="82">
        <v>223829083.405021</v>
      </c>
      <c r="Q241" s="82">
        <v>121441732.704796</v>
      </c>
      <c r="R241" s="82">
        <v>41934656.418193</v>
      </c>
    </row>
    <row r="242" spans="11:18" ht="15">
      <c r="K242" s="64">
        <f t="shared" si="6"/>
        <v>48487</v>
      </c>
      <c r="L242" s="82">
        <f>SUMIF('Covered Bond Series'!$G$5:$G$9,"&gt;"&amp;'Amortisation Profiles'!K242,'Covered Bond Series'!$E$5:$E$9)</f>
        <v>90000000</v>
      </c>
      <c r="N242" s="64">
        <f t="shared" si="7"/>
        <v>48487</v>
      </c>
      <c r="O242" s="82">
        <v>328380427.475</v>
      </c>
      <c r="P242" s="82">
        <v>220339425.441484</v>
      </c>
      <c r="Q242" s="82">
        <v>119239033.04581</v>
      </c>
      <c r="R242" s="82">
        <v>40988952.63357</v>
      </c>
    </row>
    <row r="243" spans="11:18" ht="15">
      <c r="K243" s="64">
        <f t="shared" si="6"/>
        <v>48518</v>
      </c>
      <c r="L243" s="82">
        <f>SUMIF('Covered Bond Series'!$G$5:$G$9,"&gt;"&amp;'Amortisation Profiles'!K243,'Covered Bond Series'!$E$5:$E$9)</f>
        <v>90000000</v>
      </c>
      <c r="N243" s="64">
        <f t="shared" si="7"/>
        <v>48518</v>
      </c>
      <c r="O243" s="82">
        <v>323750380.9624</v>
      </c>
      <c r="P243" s="82">
        <v>216867301.986322</v>
      </c>
      <c r="Q243" s="82">
        <v>117056383.674673</v>
      </c>
      <c r="R243" s="82">
        <v>40057765.755382</v>
      </c>
    </row>
    <row r="244" spans="11:18" ht="15">
      <c r="K244" s="64">
        <f t="shared" si="6"/>
        <v>48548</v>
      </c>
      <c r="L244" s="82">
        <f>SUMIF('Covered Bond Series'!$G$5:$G$9,"&gt;"&amp;'Amortisation Profiles'!K244,'Covered Bond Series'!$E$5:$E$9)</f>
        <v>90000000</v>
      </c>
      <c r="N244" s="64">
        <f t="shared" si="7"/>
        <v>48548</v>
      </c>
      <c r="O244" s="82">
        <v>319126188.0087</v>
      </c>
      <c r="P244" s="82">
        <v>213410150.536889</v>
      </c>
      <c r="Q244" s="82">
        <v>114892292.087436</v>
      </c>
      <c r="R244" s="82">
        <v>39140444.646094</v>
      </c>
    </row>
    <row r="245" spans="11:18" ht="15">
      <c r="K245" s="64">
        <f t="shared" si="6"/>
        <v>48579</v>
      </c>
      <c r="L245" s="82">
        <f>SUMIF('Covered Bond Series'!$G$5:$G$9,"&gt;"&amp;'Amortisation Profiles'!K245,'Covered Bond Series'!$E$5:$E$9)</f>
        <v>60000000</v>
      </c>
      <c r="N245" s="64">
        <f t="shared" si="7"/>
        <v>48579</v>
      </c>
      <c r="O245" s="82">
        <v>314513499.7354</v>
      </c>
      <c r="P245" s="82">
        <v>209971697.080001</v>
      </c>
      <c r="Q245" s="82">
        <v>112748655.958335</v>
      </c>
      <c r="R245" s="82">
        <v>38237498.93566</v>
      </c>
    </row>
    <row r="246" spans="11:18" ht="15">
      <c r="K246" s="64">
        <f t="shared" si="6"/>
        <v>48610</v>
      </c>
      <c r="L246" s="82">
        <f>SUMIF('Covered Bond Series'!$G$5:$G$9,"&gt;"&amp;'Amortisation Profiles'!K246,'Covered Bond Series'!$E$5:$E$9)</f>
        <v>60000000</v>
      </c>
      <c r="N246" s="64">
        <f t="shared" si="7"/>
        <v>48610</v>
      </c>
      <c r="O246" s="82">
        <v>309896959.0809</v>
      </c>
      <c r="P246" s="82">
        <v>206541640.064574</v>
      </c>
      <c r="Q246" s="82">
        <v>110619841.098509</v>
      </c>
      <c r="R246" s="82">
        <v>37346884.319247</v>
      </c>
    </row>
    <row r="247" spans="11:18" ht="15">
      <c r="K247" s="64">
        <f t="shared" si="6"/>
        <v>48638</v>
      </c>
      <c r="L247" s="82">
        <f>SUMIF('Covered Bond Series'!$G$5:$G$9,"&gt;"&amp;'Amortisation Profiles'!K247,'Covered Bond Series'!$E$5:$E$9)</f>
        <v>60000000</v>
      </c>
      <c r="N247" s="64">
        <f t="shared" si="7"/>
        <v>48638</v>
      </c>
      <c r="O247" s="82">
        <v>305286694.4034</v>
      </c>
      <c r="P247" s="82">
        <v>203126704.392651</v>
      </c>
      <c r="Q247" s="82">
        <v>108509365.88274</v>
      </c>
      <c r="R247" s="82">
        <v>36469668.491101</v>
      </c>
    </row>
    <row r="248" spans="11:18" ht="15">
      <c r="K248" s="64">
        <f t="shared" si="6"/>
        <v>48669</v>
      </c>
      <c r="L248" s="82">
        <f>SUMIF('Covered Bond Series'!$G$5:$G$9,"&gt;"&amp;'Amortisation Profiles'!K248,'Covered Bond Series'!$E$5:$E$9)</f>
        <v>60000000</v>
      </c>
      <c r="N248" s="64">
        <f t="shared" si="7"/>
        <v>48669</v>
      </c>
      <c r="O248" s="82">
        <v>300670570.4178</v>
      </c>
      <c r="P248" s="82">
        <v>199718781.130662</v>
      </c>
      <c r="Q248" s="82">
        <v>106412808.122181</v>
      </c>
      <c r="R248" s="82">
        <v>35604241.445051</v>
      </c>
    </row>
    <row r="249" spans="11:18" ht="15">
      <c r="K249" s="64">
        <f t="shared" si="6"/>
        <v>48699</v>
      </c>
      <c r="L249" s="82">
        <f>SUMIF('Covered Bond Series'!$G$5:$G$9,"&gt;"&amp;'Amortisation Profiles'!K249,'Covered Bond Series'!$E$5:$E$9)</f>
        <v>60000000</v>
      </c>
      <c r="N249" s="64">
        <f t="shared" si="7"/>
        <v>48699</v>
      </c>
      <c r="O249" s="82">
        <v>296049988.5464</v>
      </c>
      <c r="P249" s="82">
        <v>196318792.267507</v>
      </c>
      <c r="Q249" s="82">
        <v>104330590.414452</v>
      </c>
      <c r="R249" s="82">
        <v>34750634.528015</v>
      </c>
    </row>
    <row r="250" spans="11:18" ht="15">
      <c r="K250" s="64">
        <f t="shared" si="6"/>
        <v>48730</v>
      </c>
      <c r="L250" s="82">
        <f>SUMIF('Covered Bond Series'!$G$5:$G$9,"&gt;"&amp;'Amortisation Profiles'!K250,'Covered Bond Series'!$E$5:$E$9)</f>
        <v>60000000</v>
      </c>
      <c r="N250" s="64">
        <f t="shared" si="7"/>
        <v>48730</v>
      </c>
      <c r="O250" s="82">
        <v>291427257.6963</v>
      </c>
      <c r="P250" s="82">
        <v>192928254.002438</v>
      </c>
      <c r="Q250" s="82">
        <v>102263445.061184</v>
      </c>
      <c r="R250" s="82">
        <v>33908980.683709</v>
      </c>
    </row>
    <row r="251" spans="11:18" ht="15">
      <c r="K251" s="64">
        <f t="shared" si="6"/>
        <v>48760</v>
      </c>
      <c r="L251" s="82">
        <f>SUMIF('Covered Bond Series'!$G$5:$G$9,"&gt;"&amp;'Amortisation Profiles'!K251,'Covered Bond Series'!$E$5:$E$9)</f>
        <v>60000000</v>
      </c>
      <c r="N251" s="64">
        <f t="shared" si="7"/>
        <v>48760</v>
      </c>
      <c r="O251" s="82">
        <v>286808265.4464</v>
      </c>
      <c r="P251" s="82">
        <v>189551037.98463</v>
      </c>
      <c r="Q251" s="82">
        <v>100213342.184806</v>
      </c>
      <c r="R251" s="82">
        <v>33079817.436716</v>
      </c>
    </row>
    <row r="252" spans="11:18" ht="15">
      <c r="K252" s="64">
        <f t="shared" si="6"/>
        <v>48791</v>
      </c>
      <c r="L252" s="82">
        <f>SUMIF('Covered Bond Series'!$G$5:$G$9,"&gt;"&amp;'Amortisation Profiles'!K252,'Covered Bond Series'!$E$5:$E$9)</f>
        <v>60000000</v>
      </c>
      <c r="N252" s="64">
        <f t="shared" si="7"/>
        <v>48791</v>
      </c>
      <c r="O252" s="82">
        <v>282193191.7917</v>
      </c>
      <c r="P252" s="82">
        <v>186187223.344119</v>
      </c>
      <c r="Q252" s="82">
        <v>98180230.869608</v>
      </c>
      <c r="R252" s="82">
        <v>32263007.367529</v>
      </c>
    </row>
    <row r="253" spans="11:18" ht="15">
      <c r="K253" s="64">
        <f t="shared" si="6"/>
        <v>48822</v>
      </c>
      <c r="L253" s="82">
        <f>SUMIF('Covered Bond Series'!$G$5:$G$9,"&gt;"&amp;'Amortisation Profiles'!K253,'Covered Bond Series'!$E$5:$E$9)</f>
        <v>60000000</v>
      </c>
      <c r="N253" s="64">
        <f t="shared" si="7"/>
        <v>48822</v>
      </c>
      <c r="O253" s="82">
        <v>277586616.4207</v>
      </c>
      <c r="P253" s="82">
        <v>182839786.780148</v>
      </c>
      <c r="Q253" s="82">
        <v>96165584.275023</v>
      </c>
      <c r="R253" s="82">
        <v>31458913.168301</v>
      </c>
    </row>
    <row r="254" spans="11:18" ht="15">
      <c r="K254" s="64">
        <f t="shared" si="6"/>
        <v>48852</v>
      </c>
      <c r="L254" s="82">
        <f>SUMIF('Covered Bond Series'!$G$5:$G$9,"&gt;"&amp;'Amortisation Profiles'!K254,'Covered Bond Series'!$E$5:$E$9)</f>
        <v>60000000</v>
      </c>
      <c r="N254" s="64">
        <f t="shared" si="7"/>
        <v>48852</v>
      </c>
      <c r="O254" s="82">
        <v>272978542.5343</v>
      </c>
      <c r="P254" s="82">
        <v>179502099.754758</v>
      </c>
      <c r="Q254" s="82">
        <v>94165820.60703</v>
      </c>
      <c r="R254" s="82">
        <v>30666243.497349</v>
      </c>
    </row>
    <row r="255" spans="11:18" ht="15">
      <c r="K255" s="64">
        <f t="shared" si="6"/>
        <v>48883</v>
      </c>
      <c r="L255" s="82">
        <f>SUMIF('Covered Bond Series'!$G$5:$G$9,"&gt;"&amp;'Amortisation Profiles'!K255,'Covered Bond Series'!$E$5:$E$9)</f>
        <v>60000000</v>
      </c>
      <c r="N255" s="64">
        <f t="shared" si="7"/>
        <v>48883</v>
      </c>
      <c r="O255" s="82">
        <v>268386638.0989</v>
      </c>
      <c r="P255" s="82">
        <v>176185738.989815</v>
      </c>
      <c r="Q255" s="82">
        <v>92186920.727813</v>
      </c>
      <c r="R255" s="82">
        <v>29886828.819902</v>
      </c>
    </row>
    <row r="256" spans="11:18" ht="15">
      <c r="K256" s="64">
        <f t="shared" si="6"/>
        <v>48913</v>
      </c>
      <c r="L256" s="82">
        <f>SUMIF('Covered Bond Series'!$G$5:$G$9,"&gt;"&amp;'Amortisation Profiles'!K256,'Covered Bond Series'!$E$5:$E$9)</f>
        <v>60000000</v>
      </c>
      <c r="N256" s="64">
        <f t="shared" si="7"/>
        <v>48913</v>
      </c>
      <c r="O256" s="82">
        <v>263807043.9483</v>
      </c>
      <c r="P256" s="82">
        <v>172888094.959891</v>
      </c>
      <c r="Q256" s="82">
        <v>90227399.399648</v>
      </c>
      <c r="R256" s="82">
        <v>29120056.16224</v>
      </c>
    </row>
    <row r="257" spans="11:18" ht="15">
      <c r="K257" s="64">
        <f t="shared" si="6"/>
        <v>48944</v>
      </c>
      <c r="L257" s="82">
        <f>SUMIF('Covered Bond Series'!$G$5:$G$9,"&gt;"&amp;'Amortisation Profiles'!K257,'Covered Bond Series'!$E$5:$E$9)</f>
        <v>60000000</v>
      </c>
      <c r="N257" s="64">
        <f t="shared" si="7"/>
        <v>48944</v>
      </c>
      <c r="O257" s="82">
        <v>259247958.518</v>
      </c>
      <c r="P257" s="82">
        <v>169614464.684435</v>
      </c>
      <c r="Q257" s="82">
        <v>88289901.364359</v>
      </c>
      <c r="R257" s="82">
        <v>28366649.521353</v>
      </c>
    </row>
    <row r="258" spans="11:18" ht="15">
      <c r="K258" s="64">
        <f t="shared" si="6"/>
        <v>48975</v>
      </c>
      <c r="L258" s="82">
        <f>SUMIF('Covered Bond Series'!$G$5:$G$9,"&gt;"&amp;'Amortisation Profiles'!K258,'Covered Bond Series'!$E$5:$E$9)</f>
        <v>60000000</v>
      </c>
      <c r="N258" s="64">
        <f t="shared" si="7"/>
        <v>48975</v>
      </c>
      <c r="O258" s="82">
        <v>254702195.5583</v>
      </c>
      <c r="P258" s="82">
        <v>166360060.169192</v>
      </c>
      <c r="Q258" s="82">
        <v>86371807.597686</v>
      </c>
      <c r="R258" s="82">
        <v>27625634.593422</v>
      </c>
    </row>
    <row r="259" spans="11:18" ht="15">
      <c r="K259" s="64">
        <f t="shared" si="6"/>
        <v>49003</v>
      </c>
      <c r="L259" s="82">
        <f>SUMIF('Covered Bond Series'!$G$5:$G$9,"&gt;"&amp;'Amortisation Profiles'!K259,'Covered Bond Series'!$E$5:$E$9)</f>
        <v>60000000</v>
      </c>
      <c r="N259" s="64">
        <f t="shared" si="7"/>
        <v>49003</v>
      </c>
      <c r="O259" s="82">
        <v>250175322.3419</v>
      </c>
      <c r="P259" s="82">
        <v>163128441.820352</v>
      </c>
      <c r="Q259" s="82">
        <v>84474848.546927</v>
      </c>
      <c r="R259" s="82">
        <v>26897438.168331</v>
      </c>
    </row>
    <row r="260" spans="11:18" ht="15">
      <c r="K260" s="64">
        <f t="shared" si="6"/>
        <v>49034</v>
      </c>
      <c r="L260" s="82">
        <f>SUMIF('Covered Bond Series'!$G$5:$G$9,"&gt;"&amp;'Amortisation Profiles'!K260,'Covered Bond Series'!$E$5:$E$9)</f>
        <v>60000000</v>
      </c>
      <c r="N260" s="64">
        <f t="shared" si="7"/>
        <v>49034</v>
      </c>
      <c r="O260" s="82">
        <v>245665495.146</v>
      </c>
      <c r="P260" s="82">
        <v>159918321.052334</v>
      </c>
      <c r="Q260" s="82">
        <v>82598231.565895</v>
      </c>
      <c r="R260" s="82">
        <v>26181678.540765</v>
      </c>
    </row>
    <row r="261" spans="11:18" ht="15">
      <c r="K261" s="64">
        <f t="shared" si="6"/>
        <v>49064</v>
      </c>
      <c r="L261" s="82">
        <f>SUMIF('Covered Bond Series'!$G$5:$G$9,"&gt;"&amp;'Amortisation Profiles'!K261,'Covered Bond Series'!$E$5:$E$9)</f>
        <v>60000000</v>
      </c>
      <c r="N261" s="64">
        <f t="shared" si="7"/>
        <v>49064</v>
      </c>
      <c r="O261" s="82">
        <v>241163478.534</v>
      </c>
      <c r="P261" s="82">
        <v>156723614.264684</v>
      </c>
      <c r="Q261" s="82">
        <v>80738701.353945</v>
      </c>
      <c r="R261" s="82">
        <v>25477202.493842</v>
      </c>
    </row>
    <row r="262" spans="11:18" ht="15">
      <c r="K262" s="64">
        <f t="shared" si="6"/>
        <v>49095</v>
      </c>
      <c r="L262" s="82">
        <f>SUMIF('Covered Bond Series'!$G$5:$G$9,"&gt;"&amp;'Amortisation Profiles'!K262,'Covered Bond Series'!$E$5:$E$9)</f>
        <v>60000000</v>
      </c>
      <c r="N262" s="64">
        <f t="shared" si="7"/>
        <v>49095</v>
      </c>
      <c r="O262" s="82">
        <v>236662612.0553</v>
      </c>
      <c r="P262" s="82">
        <v>153539949.060518</v>
      </c>
      <c r="Q262" s="82">
        <v>78893914.856949</v>
      </c>
      <c r="R262" s="82">
        <v>24783162.713599</v>
      </c>
    </row>
    <row r="263" spans="11:18" ht="15">
      <c r="K263" s="64">
        <f aca="true" t="shared" si="8" ref="K263:K326">EOMONTH(K262,1)</f>
        <v>49125</v>
      </c>
      <c r="L263" s="82">
        <f>SUMIF('Covered Bond Series'!$G$5:$G$9,"&gt;"&amp;'Amortisation Profiles'!K263,'Covered Bond Series'!$E$5:$E$9)</f>
        <v>60000000</v>
      </c>
      <c r="N263" s="64">
        <f aca="true" t="shared" si="9" ref="N263:N326">EOMONTH(N262,1)</f>
        <v>49125</v>
      </c>
      <c r="O263" s="82">
        <v>232181196.237</v>
      </c>
      <c r="P263" s="82">
        <v>150379148.987604</v>
      </c>
      <c r="Q263" s="82">
        <v>77069853.163727</v>
      </c>
      <c r="R263" s="82">
        <v>24101329.232206</v>
      </c>
    </row>
    <row r="264" spans="11:18" ht="15">
      <c r="K264" s="64">
        <f t="shared" si="8"/>
        <v>49156</v>
      </c>
      <c r="L264" s="82">
        <f>SUMIF('Covered Bond Series'!$G$5:$G$9,"&gt;"&amp;'Amortisation Profiles'!K264,'Covered Bond Series'!$E$5:$E$9)</f>
        <v>60000000</v>
      </c>
      <c r="N264" s="64">
        <f t="shared" si="9"/>
        <v>49156</v>
      </c>
      <c r="O264" s="82">
        <v>227704650.6255</v>
      </c>
      <c r="P264" s="82">
        <v>147231697.145146</v>
      </c>
      <c r="Q264" s="82">
        <v>75261526.325692</v>
      </c>
      <c r="R264" s="82">
        <v>23430023.651433</v>
      </c>
    </row>
    <row r="265" spans="11:18" ht="15">
      <c r="K265" s="64">
        <f t="shared" si="8"/>
        <v>49187</v>
      </c>
      <c r="L265" s="82">
        <f>SUMIF('Covered Bond Series'!$G$5:$G$9,"&gt;"&amp;'Amortisation Profiles'!K265,'Covered Bond Series'!$E$5:$E$9)</f>
        <v>60000000</v>
      </c>
      <c r="N265" s="64">
        <f t="shared" si="9"/>
        <v>49187</v>
      </c>
      <c r="O265" s="82">
        <v>223245596.1981</v>
      </c>
      <c r="P265" s="82">
        <v>144105699.403715</v>
      </c>
      <c r="Q265" s="82">
        <v>73472980.126988</v>
      </c>
      <c r="R265" s="82">
        <v>22770396.925855</v>
      </c>
    </row>
    <row r="266" spans="11:18" ht="15">
      <c r="K266" s="64">
        <f t="shared" si="8"/>
        <v>49217</v>
      </c>
      <c r="L266" s="82">
        <f>SUMIF('Covered Bond Series'!$G$5:$G$9,"&gt;"&amp;'Amortisation Profiles'!K266,'Covered Bond Series'!$E$5:$E$9)</f>
        <v>60000000</v>
      </c>
      <c r="N266" s="64">
        <f t="shared" si="9"/>
        <v>49217</v>
      </c>
      <c r="O266" s="82">
        <v>218811917.2847</v>
      </c>
      <c r="P266" s="82">
        <v>141006154.310761</v>
      </c>
      <c r="Q266" s="82">
        <v>71706637.883631</v>
      </c>
      <c r="R266" s="82">
        <v>22123077.800056</v>
      </c>
    </row>
    <row r="267" spans="11:18" ht="15">
      <c r="K267" s="64">
        <f t="shared" si="8"/>
        <v>49248</v>
      </c>
      <c r="L267" s="82">
        <f>SUMIF('Covered Bond Series'!$G$5:$G$9,"&gt;"&amp;'Amortisation Profiles'!K267,'Covered Bond Series'!$E$5:$E$9)</f>
        <v>60000000</v>
      </c>
      <c r="N267" s="64">
        <f t="shared" si="9"/>
        <v>49248</v>
      </c>
      <c r="O267" s="82">
        <v>214385445.9678</v>
      </c>
      <c r="P267" s="82">
        <v>137921265.983703</v>
      </c>
      <c r="Q267" s="82">
        <v>69956378.996622</v>
      </c>
      <c r="R267" s="82">
        <v>21486058.200014</v>
      </c>
    </row>
    <row r="268" spans="11:18" ht="15">
      <c r="K268" s="64">
        <f t="shared" si="8"/>
        <v>49278</v>
      </c>
      <c r="L268" s="82">
        <f>SUMIF('Covered Bond Series'!$G$5:$G$9,"&gt;"&amp;'Amortisation Profiles'!K268,'Covered Bond Series'!$E$5:$E$9)</f>
        <v>60000000</v>
      </c>
      <c r="N268" s="64">
        <f t="shared" si="9"/>
        <v>49278</v>
      </c>
      <c r="O268" s="82">
        <v>209983054.7829</v>
      </c>
      <c r="P268" s="82">
        <v>134861822.717711</v>
      </c>
      <c r="Q268" s="82">
        <v>68227570.480041</v>
      </c>
      <c r="R268" s="82">
        <v>20860877.658443</v>
      </c>
    </row>
    <row r="269" spans="11:18" ht="15">
      <c r="K269" s="64">
        <f t="shared" si="8"/>
        <v>49309</v>
      </c>
      <c r="L269" s="82">
        <f>SUMIF('Covered Bond Series'!$G$5:$G$9,"&gt;"&amp;'Amortisation Profiles'!K269,'Covered Bond Series'!$E$5:$E$9)</f>
        <v>0</v>
      </c>
      <c r="N269" s="64">
        <f t="shared" si="9"/>
        <v>49309</v>
      </c>
      <c r="O269" s="82">
        <v>205608841.5102</v>
      </c>
      <c r="P269" s="82">
        <v>131830348.799794</v>
      </c>
      <c r="Q269" s="82">
        <v>66521353.47057</v>
      </c>
      <c r="R269" s="82">
        <v>20247760.184587</v>
      </c>
    </row>
    <row r="270" spans="11:18" ht="15">
      <c r="K270" s="64">
        <f t="shared" si="8"/>
        <v>49340</v>
      </c>
      <c r="L270" s="82">
        <f>SUMIF('Covered Bond Series'!$G$5:$G$9,"&gt;"&amp;'Amortisation Profiles'!K270,'Covered Bond Series'!$E$5:$E$9)</f>
        <v>0</v>
      </c>
      <c r="N270" s="64">
        <f t="shared" si="9"/>
        <v>49340</v>
      </c>
      <c r="O270" s="82">
        <v>201261282.906</v>
      </c>
      <c r="P270" s="82">
        <v>128825753.400031</v>
      </c>
      <c r="Q270" s="82">
        <v>64837037.168245</v>
      </c>
      <c r="R270" s="82">
        <v>19646369.896121</v>
      </c>
    </row>
    <row r="271" spans="11:18" ht="15">
      <c r="K271" s="64">
        <f t="shared" si="8"/>
        <v>49368</v>
      </c>
      <c r="L271" s="82">
        <f>SUMIF('Covered Bond Series'!$G$5:$G$9,"&gt;"&amp;'Amortisation Profiles'!K271,'Covered Bond Series'!$E$5:$E$9)</f>
        <v>0</v>
      </c>
      <c r="N271" s="64">
        <f t="shared" si="9"/>
        <v>49368</v>
      </c>
      <c r="O271" s="82">
        <v>196962405.02</v>
      </c>
      <c r="P271" s="82">
        <v>125862001.165509</v>
      </c>
      <c r="Q271" s="82">
        <v>63181494.710467</v>
      </c>
      <c r="R271" s="82">
        <v>19058657.046033</v>
      </c>
    </row>
    <row r="272" spans="11:18" ht="15">
      <c r="K272" s="64">
        <f t="shared" si="8"/>
        <v>49399</v>
      </c>
      <c r="L272" s="82">
        <f>SUMIF('Covered Bond Series'!$G$5:$G$9,"&gt;"&amp;'Amortisation Profiles'!K272,'Covered Bond Series'!$E$5:$E$9)</f>
        <v>0</v>
      </c>
      <c r="N272" s="64">
        <f t="shared" si="9"/>
        <v>49399</v>
      </c>
      <c r="O272" s="82">
        <v>192537664.7623</v>
      </c>
      <c r="P272" s="82">
        <v>122827562.575034</v>
      </c>
      <c r="Q272" s="82">
        <v>61498693.670818</v>
      </c>
      <c r="R272" s="82">
        <v>18467645.588039</v>
      </c>
    </row>
    <row r="273" spans="11:18" ht="15">
      <c r="K273" s="64">
        <f t="shared" si="8"/>
        <v>49429</v>
      </c>
      <c r="L273" s="82">
        <f>SUMIF('Covered Bond Series'!$G$5:$G$9,"&gt;"&amp;'Amortisation Profiles'!K273,'Covered Bond Series'!$E$5:$E$9)</f>
        <v>0</v>
      </c>
      <c r="N273" s="64">
        <f t="shared" si="9"/>
        <v>49429</v>
      </c>
      <c r="O273" s="82">
        <v>188295316.2104</v>
      </c>
      <c r="P273" s="82">
        <v>119919135.851309</v>
      </c>
      <c r="Q273" s="82">
        <v>59887108.027923</v>
      </c>
      <c r="R273" s="82">
        <v>17902852.039117</v>
      </c>
    </row>
    <row r="274" spans="11:18" ht="15">
      <c r="K274" s="64">
        <f t="shared" si="8"/>
        <v>49460</v>
      </c>
      <c r="L274" s="82">
        <f>SUMIF('Covered Bond Series'!$G$5:$G$9,"&gt;"&amp;'Amortisation Profiles'!K274,'Covered Bond Series'!$E$5:$E$9)</f>
        <v>0</v>
      </c>
      <c r="N274" s="64">
        <f t="shared" si="9"/>
        <v>49460</v>
      </c>
      <c r="O274" s="82">
        <v>184081581.4898</v>
      </c>
      <c r="P274" s="82">
        <v>117038338.891418</v>
      </c>
      <c r="Q274" s="82">
        <v>58297213.170868</v>
      </c>
      <c r="R274" s="82">
        <v>17349218.542891</v>
      </c>
    </row>
    <row r="275" spans="11:18" ht="15">
      <c r="K275" s="64">
        <f t="shared" si="8"/>
        <v>49490</v>
      </c>
      <c r="L275" s="82">
        <f>SUMIF('Covered Bond Series'!$G$5:$G$9,"&gt;"&amp;'Amortisation Profiles'!K275,'Covered Bond Series'!$E$5:$E$9)</f>
        <v>0</v>
      </c>
      <c r="N275" s="64">
        <f t="shared" si="9"/>
        <v>49490</v>
      </c>
      <c r="O275" s="82">
        <v>179505943.941</v>
      </c>
      <c r="P275" s="82">
        <v>113937185.091551</v>
      </c>
      <c r="Q275" s="82">
        <v>56605668.595104</v>
      </c>
      <c r="R275" s="82">
        <v>16770086.119188</v>
      </c>
    </row>
    <row r="276" spans="11:18" ht="15">
      <c r="K276" s="64">
        <f t="shared" si="8"/>
        <v>49521</v>
      </c>
      <c r="L276" s="82">
        <f>SUMIF('Covered Bond Series'!$G$5:$G$9,"&gt;"&amp;'Amortisation Profiles'!K276,'Covered Bond Series'!$E$5:$E$9)</f>
        <v>0</v>
      </c>
      <c r="N276" s="64">
        <f t="shared" si="9"/>
        <v>49521</v>
      </c>
      <c r="O276" s="82">
        <v>175353612.2608</v>
      </c>
      <c r="P276" s="82">
        <v>111114364.781452</v>
      </c>
      <c r="Q276" s="82">
        <v>55060409.991032</v>
      </c>
      <c r="R276" s="82">
        <v>16238953.909214</v>
      </c>
    </row>
    <row r="277" spans="11:18" ht="15">
      <c r="K277" s="64">
        <f t="shared" si="8"/>
        <v>49552</v>
      </c>
      <c r="L277" s="82">
        <f>SUMIF('Covered Bond Series'!$G$5:$G$9,"&gt;"&amp;'Amortisation Profiles'!K277,'Covered Bond Series'!$E$5:$E$9)</f>
        <v>0</v>
      </c>
      <c r="N277" s="64">
        <f t="shared" si="9"/>
        <v>49552</v>
      </c>
      <c r="O277" s="82">
        <v>171229819.1593</v>
      </c>
      <c r="P277" s="82">
        <v>108318772.149203</v>
      </c>
      <c r="Q277" s="82">
        <v>53536226.397213</v>
      </c>
      <c r="R277" s="82">
        <v>15718446.03702</v>
      </c>
    </row>
    <row r="278" spans="11:18" ht="15">
      <c r="K278" s="64">
        <f t="shared" si="8"/>
        <v>49582</v>
      </c>
      <c r="L278" s="82">
        <f>SUMIF('Covered Bond Series'!$G$5:$G$9,"&gt;"&amp;'Amortisation Profiles'!K278,'Covered Bond Series'!$E$5:$E$9)</f>
        <v>0</v>
      </c>
      <c r="N278" s="64">
        <f t="shared" si="9"/>
        <v>49582</v>
      </c>
      <c r="O278" s="82">
        <v>167120336.2257</v>
      </c>
      <c r="P278" s="82">
        <v>105541307.564777</v>
      </c>
      <c r="Q278" s="82">
        <v>52028498.523543</v>
      </c>
      <c r="R278" s="82">
        <v>15207099.452666</v>
      </c>
    </row>
    <row r="279" spans="11:18" ht="15">
      <c r="K279" s="64">
        <f t="shared" si="8"/>
        <v>49613</v>
      </c>
      <c r="L279" s="82">
        <f>SUMIF('Covered Bond Series'!$G$5:$G$9,"&gt;"&amp;'Amortisation Profiles'!K279,'Covered Bond Series'!$E$5:$E$9)</f>
        <v>0</v>
      </c>
      <c r="N279" s="64">
        <f t="shared" si="9"/>
        <v>49613</v>
      </c>
      <c r="O279" s="82">
        <v>163046288.2926</v>
      </c>
      <c r="P279" s="82">
        <v>102795221.25041</v>
      </c>
      <c r="Q279" s="82">
        <v>50543643.217231</v>
      </c>
      <c r="R279" s="82">
        <v>14706687.974228</v>
      </c>
    </row>
    <row r="280" spans="11:18" ht="15">
      <c r="K280" s="64">
        <f t="shared" si="8"/>
        <v>49643</v>
      </c>
      <c r="L280" s="82">
        <f>SUMIF('Covered Bond Series'!$G$5:$G$9,"&gt;"&amp;'Amortisation Profiles'!K280,'Covered Bond Series'!$E$5:$E$9)</f>
        <v>0</v>
      </c>
      <c r="N280" s="64">
        <f t="shared" si="9"/>
        <v>49643</v>
      </c>
      <c r="O280" s="82">
        <v>159000774.483</v>
      </c>
      <c r="P280" s="82">
        <v>100076034.468213</v>
      </c>
      <c r="Q280" s="82">
        <v>49079315.863331</v>
      </c>
      <c r="R280" s="82">
        <v>14216414.431281</v>
      </c>
    </row>
    <row r="281" spans="11:18" ht="15">
      <c r="K281" s="64">
        <f t="shared" si="8"/>
        <v>49674</v>
      </c>
      <c r="L281" s="82">
        <f>SUMIF('Covered Bond Series'!$G$5:$G$9,"&gt;"&amp;'Amortisation Profiles'!K281,'Covered Bond Series'!$E$5:$E$9)</f>
        <v>0</v>
      </c>
      <c r="N281" s="64">
        <f t="shared" si="9"/>
        <v>49674</v>
      </c>
      <c r="O281" s="82">
        <v>154980771.4819</v>
      </c>
      <c r="P281" s="82">
        <v>97381734.589396</v>
      </c>
      <c r="Q281" s="82">
        <v>47634401.423285</v>
      </c>
      <c r="R281" s="82">
        <v>13735849.688362</v>
      </c>
    </row>
    <row r="282" spans="11:18" ht="15">
      <c r="K282" s="64">
        <f t="shared" si="8"/>
        <v>49705</v>
      </c>
      <c r="L282" s="82">
        <f>SUMIF('Covered Bond Series'!$G$5:$G$9,"&gt;"&amp;'Amortisation Profiles'!K282,'Covered Bond Series'!$E$5:$E$9)</f>
        <v>0</v>
      </c>
      <c r="N282" s="64">
        <f t="shared" si="9"/>
        <v>49705</v>
      </c>
      <c r="O282" s="82">
        <v>150988865.6517</v>
      </c>
      <c r="P282" s="82">
        <v>94713841.017038</v>
      </c>
      <c r="Q282" s="82">
        <v>46209519.201654</v>
      </c>
      <c r="R282" s="82">
        <v>13265068.812106</v>
      </c>
    </row>
    <row r="283" spans="11:18" ht="15">
      <c r="K283" s="64">
        <f t="shared" si="8"/>
        <v>49734</v>
      </c>
      <c r="L283" s="82">
        <f>SUMIF('Covered Bond Series'!$G$5:$G$9,"&gt;"&amp;'Amortisation Profiles'!K283,'Covered Bond Series'!$E$5:$E$9)</f>
        <v>0</v>
      </c>
      <c r="N283" s="64">
        <f t="shared" si="9"/>
        <v>49734</v>
      </c>
      <c r="O283" s="82">
        <v>147037339.4058</v>
      </c>
      <c r="P283" s="82">
        <v>92079934.565397</v>
      </c>
      <c r="Q283" s="82">
        <v>44808230.85882</v>
      </c>
      <c r="R283" s="82">
        <v>12804985.637831</v>
      </c>
    </row>
    <row r="284" spans="11:18" ht="15">
      <c r="K284" s="64">
        <f t="shared" si="8"/>
        <v>49765</v>
      </c>
      <c r="L284" s="82">
        <f>SUMIF('Covered Bond Series'!$G$5:$G$9,"&gt;"&amp;'Amortisation Profiles'!K284,'Covered Bond Series'!$E$5:$E$9)</f>
        <v>0</v>
      </c>
      <c r="N284" s="64">
        <f t="shared" si="9"/>
        <v>49765</v>
      </c>
      <c r="O284" s="82">
        <v>143109903.4675</v>
      </c>
      <c r="P284" s="82">
        <v>89469682.146515</v>
      </c>
      <c r="Q284" s="82">
        <v>43425365.707363</v>
      </c>
      <c r="R284" s="82">
        <v>12354012.219078</v>
      </c>
    </row>
    <row r="285" spans="11:18" ht="15">
      <c r="K285" s="64">
        <f t="shared" si="8"/>
        <v>49795</v>
      </c>
      <c r="L285" s="82">
        <f>SUMIF('Covered Bond Series'!$G$5:$G$9,"&gt;"&amp;'Amortisation Profiles'!K285,'Covered Bond Series'!$E$5:$E$9)</f>
        <v>0</v>
      </c>
      <c r="N285" s="64">
        <f t="shared" si="9"/>
        <v>49795</v>
      </c>
      <c r="O285" s="82">
        <v>139209662.3051</v>
      </c>
      <c r="P285" s="82">
        <v>86884923.889498</v>
      </c>
      <c r="Q285" s="82">
        <v>42061698.86754</v>
      </c>
      <c r="R285" s="82">
        <v>11912271.730453</v>
      </c>
    </row>
    <row r="286" spans="11:18" ht="15">
      <c r="K286" s="64">
        <f t="shared" si="8"/>
        <v>49826</v>
      </c>
      <c r="L286" s="82">
        <f>SUMIF('Covered Bond Series'!$G$5:$G$9,"&gt;"&amp;'Amortisation Profiles'!K286,'Covered Bond Series'!$E$5:$E$9)</f>
        <v>0</v>
      </c>
      <c r="N286" s="64">
        <f t="shared" si="9"/>
        <v>49826</v>
      </c>
      <c r="O286" s="82">
        <v>135324341.6702</v>
      </c>
      <c r="P286" s="82">
        <v>84317905.016924</v>
      </c>
      <c r="Q286" s="82">
        <v>40713363.828666</v>
      </c>
      <c r="R286" s="82">
        <v>11478575.900865</v>
      </c>
    </row>
    <row r="287" spans="11:18" ht="15">
      <c r="K287" s="64">
        <f t="shared" si="8"/>
        <v>49856</v>
      </c>
      <c r="L287" s="82">
        <f>SUMIF('Covered Bond Series'!$G$5:$G$9,"&gt;"&amp;'Amortisation Profiles'!K287,'Covered Bond Series'!$E$5:$E$9)</f>
        <v>0</v>
      </c>
      <c r="N287" s="64">
        <f t="shared" si="9"/>
        <v>49856</v>
      </c>
      <c r="O287" s="82">
        <v>131458149.715</v>
      </c>
      <c r="P287" s="82">
        <v>81771175.12623</v>
      </c>
      <c r="Q287" s="82">
        <v>39381496.194523</v>
      </c>
      <c r="R287" s="82">
        <v>11053160.555315</v>
      </c>
    </row>
    <row r="288" spans="11:18" ht="15">
      <c r="K288" s="64">
        <f t="shared" si="8"/>
        <v>49887</v>
      </c>
      <c r="L288" s="82">
        <f>SUMIF('Covered Bond Series'!$G$5:$G$9,"&gt;"&amp;'Amortisation Profiles'!K288,'Covered Bond Series'!$E$5:$E$9)</f>
        <v>0</v>
      </c>
      <c r="N288" s="64">
        <f t="shared" si="9"/>
        <v>49887</v>
      </c>
      <c r="O288" s="82">
        <v>127614720.7032</v>
      </c>
      <c r="P288" s="82">
        <v>79246910.030216</v>
      </c>
      <c r="Q288" s="82">
        <v>38067039.720394</v>
      </c>
      <c r="R288" s="82">
        <v>10636202.927976</v>
      </c>
    </row>
    <row r="289" spans="11:18" ht="15">
      <c r="K289" s="64">
        <f t="shared" si="8"/>
        <v>49918</v>
      </c>
      <c r="L289" s="82">
        <f>SUMIF('Covered Bond Series'!$G$5:$G$9,"&gt;"&amp;'Amortisation Profiles'!K289,'Covered Bond Series'!$E$5:$E$9)</f>
        <v>0</v>
      </c>
      <c r="N289" s="64">
        <f t="shared" si="9"/>
        <v>49918</v>
      </c>
      <c r="O289" s="82">
        <v>123805156.7283</v>
      </c>
      <c r="P289" s="82">
        <v>76751900.219414</v>
      </c>
      <c r="Q289" s="82">
        <v>36773138.651757</v>
      </c>
      <c r="R289" s="82">
        <v>10228488.259255</v>
      </c>
    </row>
    <row r="290" spans="11:18" ht="15">
      <c r="K290" s="64">
        <f t="shared" si="8"/>
        <v>49948</v>
      </c>
      <c r="L290" s="82">
        <f>SUMIF('Covered Bond Series'!$G$5:$G$9,"&gt;"&amp;'Amortisation Profiles'!K290,'Covered Bond Series'!$E$5:$E$9)</f>
        <v>0</v>
      </c>
      <c r="N290" s="64">
        <f t="shared" si="9"/>
        <v>49948</v>
      </c>
      <c r="O290" s="82">
        <v>120012156.0177</v>
      </c>
      <c r="P290" s="82">
        <v>74275311.057851</v>
      </c>
      <c r="Q290" s="82">
        <v>35494481.552019</v>
      </c>
      <c r="R290" s="82">
        <v>9828445.442126</v>
      </c>
    </row>
    <row r="291" spans="11:18" ht="15">
      <c r="K291" s="64">
        <f t="shared" si="8"/>
        <v>49979</v>
      </c>
      <c r="L291" s="82">
        <f>SUMIF('Covered Bond Series'!$G$5:$G$9,"&gt;"&amp;'Amortisation Profiles'!K291,'Covered Bond Series'!$E$5:$E$9)</f>
        <v>0</v>
      </c>
      <c r="N291" s="64">
        <f t="shared" si="9"/>
        <v>49979</v>
      </c>
      <c r="O291" s="82">
        <v>116427778.2923</v>
      </c>
      <c r="P291" s="82">
        <v>71935735.975079</v>
      </c>
      <c r="Q291" s="82">
        <v>34287501.723202</v>
      </c>
      <c r="R291" s="82">
        <v>9451550.92358</v>
      </c>
    </row>
    <row r="292" spans="11:18" ht="15">
      <c r="K292" s="64">
        <f t="shared" si="8"/>
        <v>50009</v>
      </c>
      <c r="L292" s="82">
        <f>SUMIF('Covered Bond Series'!$G$5:$G$9,"&gt;"&amp;'Amortisation Profiles'!K292,'Covered Bond Series'!$E$5:$E$9)</f>
        <v>0</v>
      </c>
      <c r="N292" s="64">
        <f t="shared" si="9"/>
        <v>50009</v>
      </c>
      <c r="O292" s="82">
        <v>113018568.1028</v>
      </c>
      <c r="P292" s="82">
        <v>69711868.152913</v>
      </c>
      <c r="Q292" s="82">
        <v>33141538.577139</v>
      </c>
      <c r="R292" s="82">
        <v>9094590.386967</v>
      </c>
    </row>
    <row r="293" spans="11:18" ht="15">
      <c r="K293" s="64">
        <f t="shared" si="8"/>
        <v>50040</v>
      </c>
      <c r="L293" s="82">
        <f>SUMIF('Covered Bond Series'!$G$5:$G$9,"&gt;"&amp;'Amortisation Profiles'!K293,'Covered Bond Series'!$E$5:$E$9)</f>
        <v>0</v>
      </c>
      <c r="N293" s="64">
        <f t="shared" si="9"/>
        <v>50040</v>
      </c>
      <c r="O293" s="82">
        <v>109868121.2061</v>
      </c>
      <c r="P293" s="82">
        <v>67654619.802531</v>
      </c>
      <c r="Q293" s="82">
        <v>32080283.502057</v>
      </c>
      <c r="R293" s="82">
        <v>8763789.117835</v>
      </c>
    </row>
    <row r="294" spans="11:18" ht="15">
      <c r="K294" s="64">
        <f t="shared" si="8"/>
        <v>50071</v>
      </c>
      <c r="L294" s="82">
        <f>SUMIF('Covered Bond Series'!$G$5:$G$9,"&gt;"&amp;'Amortisation Profiles'!K294,'Covered Bond Series'!$E$5:$E$9)</f>
        <v>0</v>
      </c>
      <c r="N294" s="64">
        <f t="shared" si="9"/>
        <v>50071</v>
      </c>
      <c r="O294" s="82">
        <v>106929292.0179</v>
      </c>
      <c r="P294" s="82">
        <v>65734186.24413</v>
      </c>
      <c r="Q294" s="82">
        <v>31089005.16815</v>
      </c>
      <c r="R294" s="82">
        <v>8454808.764604</v>
      </c>
    </row>
    <row r="295" spans="11:18" ht="15">
      <c r="K295" s="64">
        <f t="shared" si="8"/>
        <v>50099</v>
      </c>
      <c r="L295" s="82">
        <f>SUMIF('Covered Bond Series'!$G$5:$G$9,"&gt;"&amp;'Amortisation Profiles'!K295,'Covered Bond Series'!$E$5:$E$9)</f>
        <v>0</v>
      </c>
      <c r="N295" s="64">
        <f t="shared" si="9"/>
        <v>50099</v>
      </c>
      <c r="O295" s="82">
        <v>104268989.148</v>
      </c>
      <c r="P295" s="82">
        <v>63990956.572937</v>
      </c>
      <c r="Q295" s="82">
        <v>30186233.754662</v>
      </c>
      <c r="R295" s="82">
        <v>8172390.973489</v>
      </c>
    </row>
    <row r="296" spans="11:18" ht="15">
      <c r="K296" s="64">
        <f t="shared" si="8"/>
        <v>50130</v>
      </c>
      <c r="L296" s="82">
        <f>SUMIF('Covered Bond Series'!$G$5:$G$9,"&gt;"&amp;'Amortisation Profiles'!K296,'Covered Bond Series'!$E$5:$E$9)</f>
        <v>0</v>
      </c>
      <c r="N296" s="64">
        <f t="shared" si="9"/>
        <v>50130</v>
      </c>
      <c r="O296" s="82">
        <v>101743094.5958</v>
      </c>
      <c r="P296" s="82">
        <v>62335754.591592</v>
      </c>
      <c r="Q296" s="82">
        <v>29329343.610266</v>
      </c>
      <c r="R296" s="82">
        <v>7904707.222473</v>
      </c>
    </row>
    <row r="297" spans="11:18" ht="15">
      <c r="K297" s="64">
        <f t="shared" si="8"/>
        <v>50160</v>
      </c>
      <c r="L297" s="82">
        <f>SUMIF('Covered Bond Series'!$G$5:$G$9,"&gt;"&amp;'Amortisation Profiles'!K297,'Covered Bond Series'!$E$5:$E$9)</f>
        <v>0</v>
      </c>
      <c r="N297" s="64">
        <f t="shared" si="9"/>
        <v>50160</v>
      </c>
      <c r="O297" s="82">
        <v>99282134.8219</v>
      </c>
      <c r="P297" s="82">
        <v>60725657.346775</v>
      </c>
      <c r="Q297" s="82">
        <v>28497852.937561</v>
      </c>
      <c r="R297" s="82">
        <v>7646079.880273</v>
      </c>
    </row>
    <row r="298" spans="11:18" ht="15">
      <c r="K298" s="64">
        <f t="shared" si="8"/>
        <v>50191</v>
      </c>
      <c r="L298" s="82">
        <f>SUMIF('Covered Bond Series'!$G$5:$G$9,"&gt;"&amp;'Amortisation Profiles'!K298,'Covered Bond Series'!$E$5:$E$9)</f>
        <v>0</v>
      </c>
      <c r="N298" s="64">
        <f t="shared" si="9"/>
        <v>50191</v>
      </c>
      <c r="O298" s="82">
        <v>97095736.9643</v>
      </c>
      <c r="P298" s="82">
        <v>59288453.16444</v>
      </c>
      <c r="Q298" s="82">
        <v>27751395.728432</v>
      </c>
      <c r="R298" s="82">
        <v>7412330.311022</v>
      </c>
    </row>
    <row r="299" spans="11:18" ht="15">
      <c r="K299" s="64">
        <f t="shared" si="8"/>
        <v>50221</v>
      </c>
      <c r="L299" s="82">
        <f>SUMIF('Covered Bond Series'!$G$5:$G$9,"&gt;"&amp;'Amortisation Profiles'!K299,'Covered Bond Series'!$E$5:$E$9)</f>
        <v>0</v>
      </c>
      <c r="N299" s="64">
        <f t="shared" si="9"/>
        <v>50221</v>
      </c>
      <c r="O299" s="82">
        <v>95077396.4489</v>
      </c>
      <c r="P299" s="82">
        <v>57958358.550848</v>
      </c>
      <c r="Q299" s="82">
        <v>27058616.199927</v>
      </c>
      <c r="R299" s="82">
        <v>7194800.568598</v>
      </c>
    </row>
    <row r="300" spans="11:18" ht="15">
      <c r="K300" s="64">
        <f t="shared" si="8"/>
        <v>50252</v>
      </c>
      <c r="L300" s="82">
        <f>SUMIF('Covered Bond Series'!$G$5:$G$9,"&gt;"&amp;'Amortisation Profiles'!K300,'Covered Bond Series'!$E$5:$E$9)</f>
        <v>0</v>
      </c>
      <c r="N300" s="64">
        <f t="shared" si="9"/>
        <v>50252</v>
      </c>
      <c r="O300" s="82">
        <v>93072252.2959</v>
      </c>
      <c r="P300" s="82">
        <v>56640601.868721</v>
      </c>
      <c r="Q300" s="82">
        <v>26374981.268799</v>
      </c>
      <c r="R300" s="82">
        <v>6981497.35038</v>
      </c>
    </row>
    <row r="301" spans="11:18" ht="15">
      <c r="K301" s="64">
        <f t="shared" si="8"/>
        <v>50283</v>
      </c>
      <c r="L301" s="82">
        <f>SUMIF('Covered Bond Series'!$G$5:$G$9,"&gt;"&amp;'Amortisation Profiles'!K301,'Covered Bond Series'!$E$5:$E$9)</f>
        <v>0</v>
      </c>
      <c r="N301" s="64">
        <f t="shared" si="9"/>
        <v>50283</v>
      </c>
      <c r="O301" s="82">
        <v>91086394.3279</v>
      </c>
      <c r="P301" s="82">
        <v>55338831.67915</v>
      </c>
      <c r="Q301" s="82">
        <v>25702127.88708</v>
      </c>
      <c r="R301" s="82">
        <v>6772807.639982</v>
      </c>
    </row>
    <row r="302" spans="11:18" ht="15">
      <c r="K302" s="64">
        <f t="shared" si="8"/>
        <v>50313</v>
      </c>
      <c r="L302" s="82">
        <f>SUMIF('Covered Bond Series'!$G$5:$G$9,"&gt;"&amp;'Amortisation Profiles'!K302,'Covered Bond Series'!$E$5:$E$9)</f>
        <v>0</v>
      </c>
      <c r="N302" s="64">
        <f t="shared" si="9"/>
        <v>50313</v>
      </c>
      <c r="O302" s="82">
        <v>89115850.0698</v>
      </c>
      <c r="P302" s="82">
        <v>54050568.821804</v>
      </c>
      <c r="Q302" s="82">
        <v>25038837.26204</v>
      </c>
      <c r="R302" s="82">
        <v>6568361.705763</v>
      </c>
    </row>
    <row r="303" spans="11:18" ht="15">
      <c r="K303" s="64">
        <f t="shared" si="8"/>
        <v>50344</v>
      </c>
      <c r="L303" s="82">
        <f>SUMIF('Covered Bond Series'!$G$5:$G$9,"&gt;"&amp;'Amortisation Profiles'!K303,'Covered Bond Series'!$E$5:$E$9)</f>
        <v>0</v>
      </c>
      <c r="N303" s="64">
        <f t="shared" si="9"/>
        <v>50344</v>
      </c>
      <c r="O303" s="82">
        <v>87153300.2217</v>
      </c>
      <c r="P303" s="82">
        <v>52771324.068619</v>
      </c>
      <c r="Q303" s="82">
        <v>24382973.887276</v>
      </c>
      <c r="R303" s="82">
        <v>6367556.683419</v>
      </c>
    </row>
    <row r="304" spans="11:18" ht="15">
      <c r="K304" s="64">
        <f t="shared" si="8"/>
        <v>50374</v>
      </c>
      <c r="L304" s="82">
        <f>SUMIF('Covered Bond Series'!$G$5:$G$9,"&gt;"&amp;'Amortisation Profiles'!K304,'Covered Bond Series'!$E$5:$E$9)</f>
        <v>0</v>
      </c>
      <c r="N304" s="64">
        <f t="shared" si="9"/>
        <v>50374</v>
      </c>
      <c r="O304" s="82">
        <v>85196703.0743</v>
      </c>
      <c r="P304" s="82">
        <v>51499828.398703</v>
      </c>
      <c r="Q304" s="82">
        <v>23733908.235364</v>
      </c>
      <c r="R304" s="82">
        <v>6170191.540309</v>
      </c>
    </row>
    <row r="305" spans="11:18" ht="15">
      <c r="K305" s="64">
        <f t="shared" si="8"/>
        <v>50405</v>
      </c>
      <c r="L305" s="82">
        <f>SUMIF('Covered Bond Series'!$G$5:$G$9,"&gt;"&amp;'Amortisation Profiles'!K305,'Covered Bond Series'!$E$5:$E$9)</f>
        <v>0</v>
      </c>
      <c r="N305" s="64">
        <f t="shared" si="9"/>
        <v>50405</v>
      </c>
      <c r="O305" s="82">
        <v>83244606.801</v>
      </c>
      <c r="P305" s="82">
        <v>50235177.257819</v>
      </c>
      <c r="Q305" s="82">
        <v>23091184.436679</v>
      </c>
      <c r="R305" s="82">
        <v>5976113.506833</v>
      </c>
    </row>
    <row r="306" spans="11:18" ht="15">
      <c r="K306" s="64">
        <f t="shared" si="8"/>
        <v>50436</v>
      </c>
      <c r="L306" s="82">
        <f>SUMIF('Covered Bond Series'!$G$5:$G$9,"&gt;"&amp;'Amortisation Profiles'!K306,'Covered Bond Series'!$E$5:$E$9)</f>
        <v>0</v>
      </c>
      <c r="N306" s="64">
        <f t="shared" si="9"/>
        <v>50436</v>
      </c>
      <c r="O306" s="82">
        <v>81303236.1204</v>
      </c>
      <c r="P306" s="82">
        <v>48981096.632124</v>
      </c>
      <c r="Q306" s="82">
        <v>22456474.157166</v>
      </c>
      <c r="R306" s="82">
        <v>5785720.401577</v>
      </c>
    </row>
    <row r="307" spans="11:18" ht="15">
      <c r="K307" s="64">
        <f t="shared" si="8"/>
        <v>50464</v>
      </c>
      <c r="L307" s="82">
        <f>SUMIF('Covered Bond Series'!$G$5:$G$9,"&gt;"&amp;'Amortisation Profiles'!K307,'Covered Bond Series'!$E$5:$E$9)</f>
        <v>0</v>
      </c>
      <c r="N307" s="64">
        <f t="shared" si="9"/>
        <v>50464</v>
      </c>
      <c r="O307" s="82">
        <v>79368307.7528</v>
      </c>
      <c r="P307" s="82">
        <v>47734967.621388</v>
      </c>
      <c r="Q307" s="82">
        <v>21828530.120183</v>
      </c>
      <c r="R307" s="82">
        <v>5598653.68339</v>
      </c>
    </row>
    <row r="308" spans="11:18" ht="15">
      <c r="K308" s="64">
        <f t="shared" si="8"/>
        <v>50495</v>
      </c>
      <c r="L308" s="82">
        <f>SUMIF('Covered Bond Series'!$G$5:$G$9,"&gt;"&amp;'Amortisation Profiles'!K308,'Covered Bond Series'!$E$5:$E$9)</f>
        <v>0</v>
      </c>
      <c r="N308" s="64">
        <f t="shared" si="9"/>
        <v>50495</v>
      </c>
      <c r="O308" s="82">
        <v>77430759.8334</v>
      </c>
      <c r="P308" s="82">
        <v>46491319.450282</v>
      </c>
      <c r="Q308" s="82">
        <v>21204816.917205</v>
      </c>
      <c r="R308" s="82">
        <v>5414232.212995</v>
      </c>
    </row>
    <row r="309" spans="11:18" ht="15">
      <c r="K309" s="64">
        <f t="shared" si="8"/>
        <v>50525</v>
      </c>
      <c r="L309" s="82">
        <f>SUMIF('Covered Bond Series'!$G$5:$G$9,"&gt;"&amp;'Amortisation Profiles'!K309,'Covered Bond Series'!$E$5:$E$9)</f>
        <v>0</v>
      </c>
      <c r="N309" s="64">
        <f t="shared" si="9"/>
        <v>50525</v>
      </c>
      <c r="O309" s="82">
        <v>75493248.9623</v>
      </c>
      <c r="P309" s="82">
        <v>45251742.418119</v>
      </c>
      <c r="Q309" s="82">
        <v>20586037.318412</v>
      </c>
      <c r="R309" s="82">
        <v>5232609.814131</v>
      </c>
    </row>
    <row r="310" spans="11:18" ht="15">
      <c r="K310" s="64">
        <f t="shared" si="8"/>
        <v>50556</v>
      </c>
      <c r="L310" s="82">
        <f>SUMIF('Covered Bond Series'!$G$5:$G$9,"&gt;"&amp;'Amortisation Profiles'!K310,'Covered Bond Series'!$E$5:$E$9)</f>
        <v>0</v>
      </c>
      <c r="N310" s="64">
        <f t="shared" si="9"/>
        <v>50556</v>
      </c>
      <c r="O310" s="82">
        <v>73564869.2042</v>
      </c>
      <c r="P310" s="82">
        <v>44021668.243052</v>
      </c>
      <c r="Q310" s="82">
        <v>19974629.826312</v>
      </c>
      <c r="R310" s="82">
        <v>5054376.373148</v>
      </c>
    </row>
    <row r="311" spans="11:18" ht="15">
      <c r="K311" s="64">
        <f t="shared" si="8"/>
        <v>50586</v>
      </c>
      <c r="L311" s="82">
        <f>SUMIF('Covered Bond Series'!$G$5:$G$9,"&gt;"&amp;'Amortisation Profiles'!K311,'Covered Bond Series'!$E$5:$E$9)</f>
        <v>0</v>
      </c>
      <c r="N311" s="64">
        <f t="shared" si="9"/>
        <v>50586</v>
      </c>
      <c r="O311" s="82">
        <v>71643601.291</v>
      </c>
      <c r="P311" s="82">
        <v>42799852.950671</v>
      </c>
      <c r="Q311" s="82">
        <v>19369986.312421</v>
      </c>
      <c r="R311" s="82">
        <v>4879343.49122</v>
      </c>
    </row>
    <row r="312" spans="11:18" ht="15">
      <c r="K312" s="64">
        <f t="shared" si="8"/>
        <v>50617</v>
      </c>
      <c r="L312" s="82">
        <f>SUMIF('Covered Bond Series'!$G$5:$G$9,"&gt;"&amp;'Amortisation Profiles'!K312,'Covered Bond Series'!$E$5:$E$9)</f>
        <v>0</v>
      </c>
      <c r="N312" s="64">
        <f t="shared" si="9"/>
        <v>50617</v>
      </c>
      <c r="O312" s="82">
        <v>69729783.1502</v>
      </c>
      <c r="P312" s="82">
        <v>41586466.687789</v>
      </c>
      <c r="Q312" s="82">
        <v>18772142.98309</v>
      </c>
      <c r="R312" s="82">
        <v>4707487.504817</v>
      </c>
    </row>
    <row r="313" spans="11:18" ht="15">
      <c r="K313" s="64">
        <f t="shared" si="8"/>
        <v>50648</v>
      </c>
      <c r="L313" s="82">
        <f>SUMIF('Covered Bond Series'!$G$5:$G$9,"&gt;"&amp;'Amortisation Profiles'!K313,'Covered Bond Series'!$E$5:$E$9)</f>
        <v>0</v>
      </c>
      <c r="N313" s="64">
        <f t="shared" si="9"/>
        <v>50648</v>
      </c>
      <c r="O313" s="82">
        <v>67830993.2777</v>
      </c>
      <c r="P313" s="82">
        <v>40385989.169197</v>
      </c>
      <c r="Q313" s="82">
        <v>18183075.80318</v>
      </c>
      <c r="R313" s="82">
        <v>4539268.92716</v>
      </c>
    </row>
    <row r="314" spans="11:18" ht="15">
      <c r="K314" s="64">
        <f t="shared" si="8"/>
        <v>50678</v>
      </c>
      <c r="L314" s="82">
        <f>SUMIF('Covered Bond Series'!$G$5:$G$9,"&gt;"&amp;'Amortisation Profiles'!K314,'Covered Bond Series'!$E$5:$E$9)</f>
        <v>0</v>
      </c>
      <c r="N314" s="64">
        <f t="shared" si="9"/>
        <v>50678</v>
      </c>
      <c r="O314" s="82">
        <v>65938833.0829</v>
      </c>
      <c r="P314" s="82">
        <v>39193373.369075</v>
      </c>
      <c r="Q314" s="82">
        <v>17600461.836935</v>
      </c>
      <c r="R314" s="82">
        <v>4374071.416999</v>
      </c>
    </row>
    <row r="315" spans="11:18" ht="15">
      <c r="K315" s="64">
        <f t="shared" si="8"/>
        <v>50709</v>
      </c>
      <c r="L315" s="82">
        <f>SUMIF('Covered Bond Series'!$G$5:$G$9,"&gt;"&amp;'Amortisation Profiles'!K315,'Covered Bond Series'!$E$5:$E$9)</f>
        <v>0</v>
      </c>
      <c r="N315" s="64">
        <f t="shared" si="9"/>
        <v>50709</v>
      </c>
      <c r="O315" s="82">
        <v>64053922.9618</v>
      </c>
      <c r="P315" s="82">
        <v>38008957.666572</v>
      </c>
      <c r="Q315" s="82">
        <v>17024414.085536</v>
      </c>
      <c r="R315" s="82">
        <v>4211891.966462</v>
      </c>
    </row>
    <row r="316" spans="11:18" ht="15">
      <c r="K316" s="64">
        <f t="shared" si="8"/>
        <v>50739</v>
      </c>
      <c r="L316" s="82">
        <f>SUMIF('Covered Bond Series'!$G$5:$G$9,"&gt;"&amp;'Amortisation Profiles'!K316,'Covered Bond Series'!$E$5:$E$9)</f>
        <v>0</v>
      </c>
      <c r="N316" s="64">
        <f t="shared" si="9"/>
        <v>50739</v>
      </c>
      <c r="O316" s="82">
        <v>62182345.9027</v>
      </c>
      <c r="P316" s="82">
        <v>36836314.180452</v>
      </c>
      <c r="Q316" s="82">
        <v>16456488.758563</v>
      </c>
      <c r="R316" s="82">
        <v>4053082.73971</v>
      </c>
    </row>
    <row r="317" spans="11:18" ht="15">
      <c r="K317" s="64">
        <f t="shared" si="8"/>
        <v>50770</v>
      </c>
      <c r="L317" s="82">
        <f>SUMIF('Covered Bond Series'!$G$5:$G$9,"&gt;"&amp;'Amortisation Profiles'!K317,'Covered Bond Series'!$E$5:$E$9)</f>
        <v>0</v>
      </c>
      <c r="N317" s="64">
        <f t="shared" si="9"/>
        <v>50770</v>
      </c>
      <c r="O317" s="82">
        <v>60162979.3565</v>
      </c>
      <c r="P317" s="82">
        <v>35580106.23358</v>
      </c>
      <c r="Q317" s="82">
        <v>15854152.952574</v>
      </c>
      <c r="R317" s="82">
        <v>3887179.369704</v>
      </c>
    </row>
    <row r="318" spans="11:18" ht="15">
      <c r="K318" s="64">
        <f t="shared" si="8"/>
        <v>50801</v>
      </c>
      <c r="L318" s="82">
        <f>SUMIF('Covered Bond Series'!$G$5:$G$9,"&gt;"&amp;'Amortisation Profiles'!K318,'Covered Bond Series'!$E$5:$E$9)</f>
        <v>0</v>
      </c>
      <c r="N318" s="64">
        <f t="shared" si="9"/>
        <v>50801</v>
      </c>
      <c r="O318" s="82">
        <v>58310525.1383</v>
      </c>
      <c r="P318" s="82">
        <v>34426565.412715</v>
      </c>
      <c r="Q318" s="82">
        <v>15300453.219031</v>
      </c>
      <c r="R318" s="82">
        <v>3734556.825976</v>
      </c>
    </row>
    <row r="319" spans="11:18" ht="15">
      <c r="K319" s="64">
        <f t="shared" si="8"/>
        <v>50829</v>
      </c>
      <c r="L319" s="82">
        <f>SUMIF('Covered Bond Series'!$G$5:$G$9,"&gt;"&amp;'Amortisation Profiles'!K319,'Covered Bond Series'!$E$5:$E$9)</f>
        <v>0</v>
      </c>
      <c r="N319" s="64">
        <f t="shared" si="9"/>
        <v>50829</v>
      </c>
      <c r="O319" s="82">
        <v>56472417.8419</v>
      </c>
      <c r="P319" s="82">
        <v>33285260.971908</v>
      </c>
      <c r="Q319" s="82">
        <v>14754936.970371</v>
      </c>
      <c r="R319" s="82">
        <v>3585216.446446</v>
      </c>
    </row>
    <row r="320" spans="11:18" ht="15">
      <c r="K320" s="64">
        <f t="shared" si="8"/>
        <v>50860</v>
      </c>
      <c r="L320" s="82">
        <f>SUMIF('Covered Bond Series'!$G$5:$G$9,"&gt;"&amp;'Amortisation Profiles'!K320,'Covered Bond Series'!$E$5:$E$9)</f>
        <v>0</v>
      </c>
      <c r="N320" s="64">
        <f t="shared" si="9"/>
        <v>50860</v>
      </c>
      <c r="O320" s="82">
        <v>54645606.0125</v>
      </c>
      <c r="P320" s="82">
        <v>32154345.19155</v>
      </c>
      <c r="Q320" s="82">
        <v>14216734.632656</v>
      </c>
      <c r="R320" s="82">
        <v>3438912.468182</v>
      </c>
    </row>
    <row r="321" spans="11:18" ht="15">
      <c r="K321" s="64">
        <f t="shared" si="8"/>
        <v>50890</v>
      </c>
      <c r="L321" s="82">
        <f>SUMIF('Covered Bond Series'!$G$5:$G$9,"&gt;"&amp;'Amortisation Profiles'!K321,'Covered Bond Series'!$E$5:$E$9)</f>
        <v>0</v>
      </c>
      <c r="N321" s="64">
        <f t="shared" si="9"/>
        <v>50890</v>
      </c>
      <c r="O321" s="82">
        <v>52824781.3399</v>
      </c>
      <c r="P321" s="82">
        <v>31030656.976243</v>
      </c>
      <c r="Q321" s="82">
        <v>13684406.036395</v>
      </c>
      <c r="R321" s="82">
        <v>3295265.854251</v>
      </c>
    </row>
    <row r="322" spans="11:18" ht="15">
      <c r="K322" s="64">
        <f t="shared" si="8"/>
        <v>50921</v>
      </c>
      <c r="L322" s="82">
        <f>SUMIF('Covered Bond Series'!$G$5:$G$9,"&gt;"&amp;'Amortisation Profiles'!K322,'Covered Bond Series'!$E$5:$E$9)</f>
        <v>0</v>
      </c>
      <c r="N322" s="64">
        <f t="shared" si="9"/>
        <v>50921</v>
      </c>
      <c r="O322" s="82">
        <v>51012312.9673</v>
      </c>
      <c r="P322" s="82">
        <v>29915558.638881</v>
      </c>
      <c r="Q322" s="82">
        <v>13158515.382184</v>
      </c>
      <c r="R322" s="82">
        <v>3154384.580555</v>
      </c>
    </row>
    <row r="323" spans="11:18" ht="15">
      <c r="K323" s="64">
        <f t="shared" si="8"/>
        <v>50951</v>
      </c>
      <c r="L323" s="82">
        <f>SUMIF('Covered Bond Series'!$G$5:$G$9,"&gt;"&amp;'Amortisation Profiles'!K323,'Covered Bond Series'!$E$5:$E$9)</f>
        <v>0</v>
      </c>
      <c r="N323" s="64">
        <f t="shared" si="9"/>
        <v>50951</v>
      </c>
      <c r="O323" s="82">
        <v>49207284.3298</v>
      </c>
      <c r="P323" s="82">
        <v>28808479.602783</v>
      </c>
      <c r="Q323" s="82">
        <v>12638772.833419</v>
      </c>
      <c r="R323" s="82">
        <v>3016170.580488</v>
      </c>
    </row>
    <row r="324" spans="11:18" ht="15">
      <c r="K324" s="64">
        <f t="shared" si="8"/>
        <v>50982</v>
      </c>
      <c r="L324" s="82">
        <f>SUMIF('Covered Bond Series'!$G$5:$G$9,"&gt;"&amp;'Amortisation Profiles'!K324,'Covered Bond Series'!$E$5:$E$9)</f>
        <v>0</v>
      </c>
      <c r="N324" s="64">
        <f t="shared" si="9"/>
        <v>50982</v>
      </c>
      <c r="O324" s="82">
        <v>47422858.5101</v>
      </c>
      <c r="P324" s="82">
        <v>27717082.139617</v>
      </c>
      <c r="Q324" s="82">
        <v>12128493.849892</v>
      </c>
      <c r="R324" s="82">
        <v>2881383.765439</v>
      </c>
    </row>
    <row r="325" spans="11:18" ht="15">
      <c r="K325" s="64">
        <f t="shared" si="8"/>
        <v>51013</v>
      </c>
      <c r="L325" s="82">
        <f>SUMIF('Covered Bond Series'!$G$5:$G$9,"&gt;"&amp;'Amortisation Profiles'!K325,'Covered Bond Series'!$E$5:$E$9)</f>
        <v>0</v>
      </c>
      <c r="N325" s="64">
        <f t="shared" si="9"/>
        <v>51013</v>
      </c>
      <c r="O325" s="82">
        <v>45645727.1388</v>
      </c>
      <c r="P325" s="82">
        <v>26633531.095861</v>
      </c>
      <c r="Q325" s="82">
        <v>11624195.556748</v>
      </c>
      <c r="R325" s="82">
        <v>2749162.311193</v>
      </c>
    </row>
    <row r="326" spans="11:18" ht="15">
      <c r="K326" s="64">
        <f t="shared" si="8"/>
        <v>51043</v>
      </c>
      <c r="L326" s="82">
        <f>SUMIF('Covered Bond Series'!$G$5:$G$9,"&gt;"&amp;'Amortisation Profiles'!K326,'Covered Bond Series'!$E$5:$E$9)</f>
        <v>0</v>
      </c>
      <c r="N326" s="64">
        <f t="shared" si="9"/>
        <v>51043</v>
      </c>
      <c r="O326" s="82">
        <v>43883734.4448</v>
      </c>
      <c r="P326" s="82">
        <v>25562365.319635</v>
      </c>
      <c r="Q326" s="82">
        <v>11127817.391352</v>
      </c>
      <c r="R326" s="82">
        <v>2619936.137843</v>
      </c>
    </row>
    <row r="327" spans="11:18" ht="15">
      <c r="K327" s="64">
        <f aca="true" t="shared" si="10" ref="K327:K365">EOMONTH(K326,1)</f>
        <v>51074</v>
      </c>
      <c r="L327" s="82">
        <f>SUMIF('Covered Bond Series'!$G$5:$G$9,"&gt;"&amp;'Amortisation Profiles'!K327,'Covered Bond Series'!$E$5:$E$9)</f>
        <v>0</v>
      </c>
      <c r="N327" s="64">
        <f aca="true" t="shared" si="11" ref="N327:N365">EOMONTH(N326,1)</f>
        <v>51074</v>
      </c>
      <c r="O327" s="82">
        <v>42137899.846</v>
      </c>
      <c r="P327" s="82">
        <v>24504124.179688</v>
      </c>
      <c r="Q327" s="82">
        <v>10639541.980217</v>
      </c>
      <c r="R327" s="82">
        <v>2493715.392821</v>
      </c>
    </row>
    <row r="328" spans="11:18" ht="15">
      <c r="K328" s="64">
        <f t="shared" si="10"/>
        <v>51104</v>
      </c>
      <c r="L328" s="82">
        <f>SUMIF('Covered Bond Series'!$G$5:$G$9,"&gt;"&amp;'Amortisation Profiles'!K328,'Covered Bond Series'!$E$5:$E$9)</f>
        <v>0</v>
      </c>
      <c r="N328" s="64">
        <f t="shared" si="11"/>
        <v>51104</v>
      </c>
      <c r="O328" s="82">
        <v>40413648.663</v>
      </c>
      <c r="P328" s="82">
        <v>23461901.087758</v>
      </c>
      <c r="Q328" s="82">
        <v>10160655.835917</v>
      </c>
      <c r="R328" s="82">
        <v>2370767.362066</v>
      </c>
    </row>
    <row r="329" spans="11:18" ht="15">
      <c r="K329" s="64">
        <f t="shared" si="10"/>
        <v>51135</v>
      </c>
      <c r="L329" s="82">
        <f>SUMIF('Covered Bond Series'!$G$5:$G$9,"&gt;"&amp;'Amortisation Profiles'!K329,'Covered Bond Series'!$E$5:$E$9)</f>
        <v>0</v>
      </c>
      <c r="N329" s="64">
        <f t="shared" si="11"/>
        <v>51135</v>
      </c>
      <c r="O329" s="82">
        <v>38711476.2539</v>
      </c>
      <c r="P329" s="82">
        <v>22435911.113671</v>
      </c>
      <c r="Q329" s="82">
        <v>9691188.637244</v>
      </c>
      <c r="R329" s="82">
        <v>2251062.163046</v>
      </c>
    </row>
    <row r="330" spans="11:18" ht="15">
      <c r="K330" s="64">
        <f t="shared" si="10"/>
        <v>51166</v>
      </c>
      <c r="L330" s="82">
        <f>SUMIF('Covered Bond Series'!$G$5:$G$9,"&gt;"&amp;'Amortisation Profiles'!K330,'Covered Bond Series'!$E$5:$E$9)</f>
        <v>0</v>
      </c>
      <c r="N330" s="64">
        <f t="shared" si="11"/>
        <v>51166</v>
      </c>
      <c r="O330" s="82">
        <v>37028472.0059</v>
      </c>
      <c r="P330" s="82">
        <v>21424397.040729</v>
      </c>
      <c r="Q330" s="82">
        <v>9230319.607601</v>
      </c>
      <c r="R330" s="82">
        <v>2134373.521708</v>
      </c>
    </row>
    <row r="331" spans="11:18" ht="15">
      <c r="K331" s="64">
        <f t="shared" si="10"/>
        <v>51195</v>
      </c>
      <c r="L331" s="82">
        <f>SUMIF('Covered Bond Series'!$G$5:$G$9,"&gt;"&amp;'Amortisation Profiles'!K331,'Covered Bond Series'!$E$5:$E$9)</f>
        <v>0</v>
      </c>
      <c r="N331" s="64">
        <f t="shared" si="11"/>
        <v>51195</v>
      </c>
      <c r="O331" s="82">
        <v>35366837.485</v>
      </c>
      <c r="P331" s="82">
        <v>20428566.072224</v>
      </c>
      <c r="Q331" s="82">
        <v>8778509.99977</v>
      </c>
      <c r="R331" s="82">
        <v>2020773.950005</v>
      </c>
    </row>
    <row r="332" spans="11:18" ht="15">
      <c r="K332" s="64">
        <f t="shared" si="10"/>
        <v>51226</v>
      </c>
      <c r="L332" s="82">
        <f>SUMIF('Covered Bond Series'!$G$5:$G$9,"&gt;"&amp;'Amortisation Profiles'!K332,'Covered Bond Series'!$E$5:$E$9)</f>
        <v>0</v>
      </c>
      <c r="N332" s="64">
        <f t="shared" si="11"/>
        <v>51226</v>
      </c>
      <c r="O332" s="82">
        <v>33713157.667</v>
      </c>
      <c r="P332" s="82">
        <v>19440611.794229</v>
      </c>
      <c r="Q332" s="82">
        <v>8332352.726806</v>
      </c>
      <c r="R332" s="82">
        <v>1909447.914159</v>
      </c>
    </row>
    <row r="333" spans="11:18" ht="15">
      <c r="K333" s="64">
        <f t="shared" si="10"/>
        <v>51256</v>
      </c>
      <c r="L333" s="82">
        <f>SUMIF('Covered Bond Series'!$G$5:$G$9,"&gt;"&amp;'Amortisation Profiles'!K333,'Covered Bond Series'!$E$5:$E$9)</f>
        <v>0</v>
      </c>
      <c r="N333" s="64">
        <f t="shared" si="11"/>
        <v>51256</v>
      </c>
      <c r="O333" s="82">
        <v>32066452.768</v>
      </c>
      <c r="P333" s="82">
        <v>18459938.762394</v>
      </c>
      <c r="Q333" s="82">
        <v>7891558.291043</v>
      </c>
      <c r="R333" s="82">
        <v>1800305.382697</v>
      </c>
    </row>
    <row r="334" spans="11:18" ht="15">
      <c r="K334" s="64">
        <f t="shared" si="10"/>
        <v>51287</v>
      </c>
      <c r="L334" s="82">
        <f>SUMIF('Covered Bond Series'!$G$5:$G$9,"&gt;"&amp;'Amortisation Profiles'!K334,'Covered Bond Series'!$E$5:$E$9)</f>
        <v>0</v>
      </c>
      <c r="N334" s="64">
        <f t="shared" si="11"/>
        <v>51287</v>
      </c>
      <c r="O334" s="82">
        <v>30431265.0126</v>
      </c>
      <c r="P334" s="82">
        <v>17489129.005042</v>
      </c>
      <c r="Q334" s="82">
        <v>7457194.7898</v>
      </c>
      <c r="R334" s="82">
        <v>1693566.055521</v>
      </c>
    </row>
    <row r="335" spans="11:18" ht="15">
      <c r="K335" s="64">
        <f t="shared" si="10"/>
        <v>51317</v>
      </c>
      <c r="L335" s="82">
        <f>SUMIF('Covered Bond Series'!$G$5:$G$9,"&gt;"&amp;'Amortisation Profiles'!K335,'Covered Bond Series'!$E$5:$E$9)</f>
        <v>0</v>
      </c>
      <c r="N335" s="64">
        <f t="shared" si="11"/>
        <v>51317</v>
      </c>
      <c r="O335" s="82">
        <v>28808586.047</v>
      </c>
      <c r="P335" s="82">
        <v>16528709.920794</v>
      </c>
      <c r="Q335" s="82">
        <v>7029445.347479</v>
      </c>
      <c r="R335" s="82">
        <v>1589245.354356</v>
      </c>
    </row>
    <row r="336" spans="11:18" ht="15">
      <c r="K336" s="64">
        <f t="shared" si="10"/>
        <v>51348</v>
      </c>
      <c r="L336" s="82">
        <f>SUMIF('Covered Bond Series'!$G$5:$G$9,"&gt;"&amp;'Amortisation Profiles'!K336,'Covered Bond Series'!$E$5:$E$9)</f>
        <v>0</v>
      </c>
      <c r="N336" s="64">
        <f t="shared" si="11"/>
        <v>51348</v>
      </c>
      <c r="O336" s="82">
        <v>27198135.165</v>
      </c>
      <c r="P336" s="82">
        <v>15578476.437506</v>
      </c>
      <c r="Q336" s="82">
        <v>6608180.196173</v>
      </c>
      <c r="R336" s="82">
        <v>1487287.782794</v>
      </c>
    </row>
    <row r="337" spans="11:18" ht="15">
      <c r="K337" s="64">
        <f t="shared" si="10"/>
        <v>51379</v>
      </c>
      <c r="L337" s="82">
        <f>SUMIF('Covered Bond Series'!$G$5:$G$9,"&gt;"&amp;'Amortisation Profiles'!K337,'Covered Bond Series'!$E$5:$E$9)</f>
        <v>0</v>
      </c>
      <c r="N337" s="64">
        <f t="shared" si="11"/>
        <v>51379</v>
      </c>
      <c r="O337" s="82">
        <v>25597785.0109</v>
      </c>
      <c r="P337" s="82">
        <v>14637168.792086</v>
      </c>
      <c r="Q337" s="82">
        <v>6192824.464611</v>
      </c>
      <c r="R337" s="82">
        <v>1387538.841172</v>
      </c>
    </row>
    <row r="338" spans="11:18" ht="15">
      <c r="K338" s="64">
        <f t="shared" si="10"/>
        <v>51409</v>
      </c>
      <c r="L338" s="82">
        <f>SUMIF('Covered Bond Series'!$G$5:$G$9,"&gt;"&amp;'Amortisation Profiles'!K338,'Covered Bond Series'!$E$5:$E$9)</f>
        <v>0</v>
      </c>
      <c r="N338" s="64">
        <f t="shared" si="11"/>
        <v>51409</v>
      </c>
      <c r="O338" s="82">
        <v>24007790.3657</v>
      </c>
      <c r="P338" s="82">
        <v>13704895.337903</v>
      </c>
      <c r="Q338" s="82">
        <v>5783386.357782</v>
      </c>
      <c r="R338" s="82">
        <v>1289976.580681</v>
      </c>
    </row>
    <row r="339" spans="11:18" ht="15">
      <c r="K339" s="64">
        <f t="shared" si="10"/>
        <v>51440</v>
      </c>
      <c r="L339" s="82">
        <f>SUMIF('Covered Bond Series'!$G$5:$G$9,"&gt;"&amp;'Amortisation Profiles'!K339,'Covered Bond Series'!$E$5:$E$9)</f>
        <v>0</v>
      </c>
      <c r="N339" s="64">
        <f t="shared" si="11"/>
        <v>51440</v>
      </c>
      <c r="O339" s="82">
        <v>22423483.9251</v>
      </c>
      <c r="P339" s="82">
        <v>12778958.562443</v>
      </c>
      <c r="Q339" s="82">
        <v>5378692.790677</v>
      </c>
      <c r="R339" s="82">
        <v>1194316.954848</v>
      </c>
    </row>
    <row r="340" spans="11:18" ht="15">
      <c r="K340" s="64">
        <f t="shared" si="10"/>
        <v>51470</v>
      </c>
      <c r="L340" s="82">
        <f>SUMIF('Covered Bond Series'!$G$5:$G$9,"&gt;"&amp;'Amortisation Profiles'!K340,'Covered Bond Series'!$E$5:$E$9)</f>
        <v>0</v>
      </c>
      <c r="N340" s="64">
        <f t="shared" si="11"/>
        <v>51470</v>
      </c>
      <c r="O340" s="82">
        <v>20850709.5128</v>
      </c>
      <c r="P340" s="82">
        <v>11862659.092227</v>
      </c>
      <c r="Q340" s="82">
        <v>4980100.661875</v>
      </c>
      <c r="R340" s="82">
        <v>1100840.043591</v>
      </c>
    </row>
    <row r="341" spans="11:18" ht="15">
      <c r="K341" s="64">
        <f t="shared" si="10"/>
        <v>51501</v>
      </c>
      <c r="L341" s="82">
        <f>SUMIF('Covered Bond Series'!$G$5:$G$9,"&gt;"&amp;'Amortisation Profiles'!K341,'Covered Bond Series'!$E$5:$E$9)</f>
        <v>0</v>
      </c>
      <c r="N341" s="64">
        <f t="shared" si="11"/>
        <v>51501</v>
      </c>
      <c r="O341" s="82">
        <v>19288528.5006</v>
      </c>
      <c r="P341" s="82">
        <v>10955422.941759</v>
      </c>
      <c r="Q341" s="82">
        <v>4587330.321626</v>
      </c>
      <c r="R341" s="82">
        <v>1009460.548409</v>
      </c>
    </row>
    <row r="342" spans="11:18" ht="15">
      <c r="K342" s="64">
        <f t="shared" si="10"/>
        <v>51532</v>
      </c>
      <c r="L342" s="82">
        <f>SUMIF('Covered Bond Series'!$G$5:$G$9,"&gt;"&amp;'Amortisation Profiles'!K342,'Covered Bond Series'!$E$5:$E$9)</f>
        <v>0</v>
      </c>
      <c r="N342" s="64">
        <f t="shared" si="11"/>
        <v>51532</v>
      </c>
      <c r="O342" s="82">
        <v>17733080.4762</v>
      </c>
      <c r="P342" s="82">
        <v>10055023.172779</v>
      </c>
      <c r="Q342" s="82">
        <v>4199414.42868</v>
      </c>
      <c r="R342" s="82">
        <v>919943.839262</v>
      </c>
    </row>
    <row r="343" spans="11:18" ht="15">
      <c r="K343" s="64">
        <f t="shared" si="10"/>
        <v>51560</v>
      </c>
      <c r="L343" s="82">
        <f>SUMIF('Covered Bond Series'!$G$5:$G$9,"&gt;"&amp;'Amortisation Profiles'!K343,'Covered Bond Series'!$E$5:$E$9)</f>
        <v>0</v>
      </c>
      <c r="N343" s="64">
        <f t="shared" si="11"/>
        <v>51560</v>
      </c>
      <c r="O343" s="82">
        <v>16191838.8821</v>
      </c>
      <c r="P343" s="82">
        <v>9165663.393616</v>
      </c>
      <c r="Q343" s="82">
        <v>3818074.144976</v>
      </c>
      <c r="R343" s="82">
        <v>832645.57666</v>
      </c>
    </row>
    <row r="344" spans="11:18" ht="15">
      <c r="K344" s="64">
        <f t="shared" si="10"/>
        <v>51591</v>
      </c>
      <c r="L344" s="82">
        <f>SUMIF('Covered Bond Series'!$G$5:$G$9,"&gt;"&amp;'Amortisation Profiles'!K344,'Covered Bond Series'!$E$5:$E$9)</f>
        <v>0</v>
      </c>
      <c r="N344" s="64">
        <f t="shared" si="11"/>
        <v>51591</v>
      </c>
      <c r="O344" s="82">
        <v>14658693.7659</v>
      </c>
      <c r="P344" s="82">
        <v>8283842.670267</v>
      </c>
      <c r="Q344" s="82">
        <v>3441811.573944</v>
      </c>
      <c r="R344" s="82">
        <v>747215.979331</v>
      </c>
    </row>
    <row r="345" spans="11:18" ht="15">
      <c r="K345" s="64">
        <f t="shared" si="10"/>
        <v>51621</v>
      </c>
      <c r="L345" s="82">
        <f>SUMIF('Covered Bond Series'!$G$5:$G$9,"&gt;"&amp;'Amortisation Profiles'!K345,'Covered Bond Series'!$E$5:$E$9)</f>
        <v>0</v>
      </c>
      <c r="N345" s="64">
        <f t="shared" si="11"/>
        <v>51621</v>
      </c>
      <c r="O345" s="82">
        <v>13138250.7002</v>
      </c>
      <c r="P345" s="82">
        <v>7412128.738078</v>
      </c>
      <c r="Q345" s="82">
        <v>3071658.977873</v>
      </c>
      <c r="R345" s="82">
        <v>663858.16321</v>
      </c>
    </row>
    <row r="346" spans="11:18" ht="15">
      <c r="K346" s="64">
        <f t="shared" si="10"/>
        <v>51652</v>
      </c>
      <c r="L346" s="82">
        <f>SUMIF('Covered Bond Series'!$G$5:$G$9,"&gt;"&amp;'Amortisation Profiles'!K346,'Covered Bond Series'!$E$5:$E$9)</f>
        <v>0</v>
      </c>
      <c r="N346" s="64">
        <f t="shared" si="11"/>
        <v>51652</v>
      </c>
      <c r="O346" s="82">
        <v>11631736.2442</v>
      </c>
      <c r="P346" s="82">
        <v>6551168.863837</v>
      </c>
      <c r="Q346" s="82">
        <v>2707843.94548</v>
      </c>
      <c r="R346" s="82">
        <v>582598.249835</v>
      </c>
    </row>
    <row r="347" spans="11:18" ht="15">
      <c r="K347" s="64">
        <f t="shared" si="10"/>
        <v>51682</v>
      </c>
      <c r="L347" s="82">
        <f>SUMIF('Covered Bond Series'!$G$5:$G$9,"&gt;"&amp;'Amortisation Profiles'!K347,'Covered Bond Series'!$E$5:$E$9)</f>
        <v>0</v>
      </c>
      <c r="N347" s="64">
        <f t="shared" si="11"/>
        <v>51682</v>
      </c>
      <c r="O347" s="82">
        <v>10129790.1812</v>
      </c>
      <c r="P347" s="82">
        <v>5695653.198619</v>
      </c>
      <c r="Q347" s="82">
        <v>2348135.587502</v>
      </c>
      <c r="R347" s="82">
        <v>502935.107502</v>
      </c>
    </row>
    <row r="348" spans="11:18" ht="15">
      <c r="K348" s="64">
        <f t="shared" si="10"/>
        <v>51713</v>
      </c>
      <c r="L348" s="82">
        <f>SUMIF('Covered Bond Series'!$G$5:$G$9,"&gt;"&amp;'Amortisation Profiles'!K348,'Covered Bond Series'!$E$5:$E$9)</f>
        <v>0</v>
      </c>
      <c r="N348" s="64">
        <f t="shared" si="11"/>
        <v>51713</v>
      </c>
      <c r="O348" s="82">
        <v>8636931.0424</v>
      </c>
      <c r="P348" s="82">
        <v>4848097.877845</v>
      </c>
      <c r="Q348" s="82">
        <v>1993543.913798</v>
      </c>
      <c r="R348" s="82">
        <v>425067.433582</v>
      </c>
    </row>
    <row r="349" spans="11:18" ht="15">
      <c r="K349" s="64">
        <f t="shared" si="10"/>
        <v>51744</v>
      </c>
      <c r="L349" s="82">
        <f>SUMIF('Covered Bond Series'!$G$5:$G$9,"&gt;"&amp;'Amortisation Profiles'!K349,'Covered Bond Series'!$E$5:$E$9)</f>
        <v>0</v>
      </c>
      <c r="N349" s="64">
        <f t="shared" si="11"/>
        <v>51744</v>
      </c>
      <c r="O349" s="82">
        <v>7164894.4368</v>
      </c>
      <c r="P349" s="82">
        <v>4015046.341582</v>
      </c>
      <c r="Q349" s="82">
        <v>1646720.090842</v>
      </c>
      <c r="R349" s="82">
        <v>349538.529642</v>
      </c>
    </row>
    <row r="350" spans="11:18" ht="15">
      <c r="K350" s="64">
        <f t="shared" si="10"/>
        <v>51774</v>
      </c>
      <c r="L350" s="82">
        <f>SUMIF('Covered Bond Series'!$G$5:$G$9,"&gt;"&amp;'Amortisation Profiles'!K350,'Covered Bond Series'!$E$5:$E$9)</f>
        <v>0</v>
      </c>
      <c r="N350" s="64">
        <f t="shared" si="11"/>
        <v>51774</v>
      </c>
      <c r="O350" s="82">
        <v>5719431.8535</v>
      </c>
      <c r="P350" s="82">
        <v>3199650.153063</v>
      </c>
      <c r="Q350" s="82">
        <v>1308900.129864</v>
      </c>
      <c r="R350" s="82">
        <v>276582.710611</v>
      </c>
    </row>
    <row r="351" spans="11:18" ht="15">
      <c r="K351" s="64">
        <f t="shared" si="10"/>
        <v>51805</v>
      </c>
      <c r="L351" s="82">
        <f>SUMIF('Covered Bond Series'!$G$5:$G$9,"&gt;"&amp;'Amortisation Profiles'!K351,'Covered Bond Series'!$E$5:$E$9)</f>
        <v>0</v>
      </c>
      <c r="N351" s="64">
        <f t="shared" si="11"/>
        <v>51805</v>
      </c>
      <c r="O351" s="82">
        <v>4402718.5023</v>
      </c>
      <c r="P351" s="82">
        <v>2458891.48859</v>
      </c>
      <c r="Q351" s="82">
        <v>1003270.80393</v>
      </c>
      <c r="R351" s="82">
        <v>211047.362492</v>
      </c>
    </row>
    <row r="352" spans="11:18" ht="15">
      <c r="K352" s="64">
        <f t="shared" si="10"/>
        <v>51835</v>
      </c>
      <c r="L352" s="82">
        <f>SUMIF('Covered Bond Series'!$G$5:$G$9,"&gt;"&amp;'Amortisation Profiles'!K352,'Covered Bond Series'!$E$5:$E$9)</f>
        <v>0</v>
      </c>
      <c r="N352" s="64">
        <f t="shared" si="11"/>
        <v>51835</v>
      </c>
      <c r="O352" s="82">
        <v>3253334.0931</v>
      </c>
      <c r="P352" s="82">
        <v>1813910.891185</v>
      </c>
      <c r="Q352" s="82">
        <v>738192.37186</v>
      </c>
      <c r="R352" s="82">
        <v>154587.563462</v>
      </c>
    </row>
    <row r="353" spans="11:18" ht="15">
      <c r="K353" s="64">
        <f t="shared" si="10"/>
        <v>51866</v>
      </c>
      <c r="L353" s="82">
        <f>SUMIF('Covered Bond Series'!$G$5:$G$9,"&gt;"&amp;'Amortisation Profiles'!K353,'Covered Bond Series'!$E$5:$E$9)</f>
        <v>0</v>
      </c>
      <c r="N353" s="64">
        <f t="shared" si="11"/>
        <v>51866</v>
      </c>
      <c r="O353" s="82">
        <v>2314234.1381</v>
      </c>
      <c r="P353" s="82">
        <v>1288141.047298</v>
      </c>
      <c r="Q353" s="82">
        <v>522867.704965</v>
      </c>
      <c r="R353" s="82">
        <v>109003.40401</v>
      </c>
    </row>
    <row r="354" spans="11:18" ht="15">
      <c r="K354" s="64">
        <f t="shared" si="10"/>
        <v>51897</v>
      </c>
      <c r="L354" s="82">
        <f>SUMIF('Covered Bond Series'!$G$5:$G$9,"&gt;"&amp;'Amortisation Profiles'!K354,'Covered Bond Series'!$E$5:$E$9)</f>
        <v>0</v>
      </c>
      <c r="N354" s="64">
        <f t="shared" si="11"/>
        <v>51897</v>
      </c>
      <c r="O354" s="82">
        <v>1529825.7689</v>
      </c>
      <c r="P354" s="82">
        <v>850093.968778</v>
      </c>
      <c r="Q354" s="82">
        <v>344167.715049</v>
      </c>
      <c r="R354" s="82">
        <v>71426.869079</v>
      </c>
    </row>
    <row r="355" spans="11:18" ht="15">
      <c r="K355" s="64">
        <f t="shared" si="10"/>
        <v>51925</v>
      </c>
      <c r="L355" s="82">
        <f>SUMIF('Covered Bond Series'!$G$5:$G$9,"&gt;"&amp;'Amortisation Profiles'!K355,'Covered Bond Series'!$E$5:$E$9)</f>
        <v>0</v>
      </c>
      <c r="N355" s="64">
        <f t="shared" si="11"/>
        <v>51925</v>
      </c>
      <c r="O355" s="82">
        <v>959558.9142</v>
      </c>
      <c r="P355" s="82">
        <v>532311.006909</v>
      </c>
      <c r="Q355" s="82">
        <v>214952.961933</v>
      </c>
      <c r="R355" s="82">
        <v>44409.73281</v>
      </c>
    </row>
    <row r="356" spans="11:18" ht="15">
      <c r="K356" s="64">
        <f t="shared" si="10"/>
        <v>51956</v>
      </c>
      <c r="L356" s="82">
        <f>SUMIF('Covered Bond Series'!$G$5:$G$9,"&gt;"&amp;'Amortisation Profiles'!K356,'Covered Bond Series'!$E$5:$E$9)</f>
        <v>0</v>
      </c>
      <c r="N356" s="64">
        <f t="shared" si="11"/>
        <v>51956</v>
      </c>
      <c r="O356" s="82">
        <v>494704.1443</v>
      </c>
      <c r="P356" s="82">
        <v>273973.268172</v>
      </c>
      <c r="Q356" s="82">
        <v>110347.111996</v>
      </c>
      <c r="R356" s="82">
        <v>22695.457434</v>
      </c>
    </row>
    <row r="357" spans="11:18" ht="15">
      <c r="K357" s="64">
        <f t="shared" si="10"/>
        <v>51986</v>
      </c>
      <c r="L357" s="82">
        <f>SUMIF('Covered Bond Series'!$G$5:$G$9,"&gt;"&amp;'Amortisation Profiles'!K357,'Covered Bond Series'!$E$5:$E$9)</f>
        <v>0</v>
      </c>
      <c r="N357" s="64">
        <f t="shared" si="11"/>
        <v>51986</v>
      </c>
      <c r="O357" s="82">
        <v>184852.0522</v>
      </c>
      <c r="P357" s="82">
        <v>102201.144032</v>
      </c>
      <c r="Q357" s="82">
        <v>41056.633264</v>
      </c>
      <c r="R357" s="82">
        <v>8406.293477</v>
      </c>
    </row>
    <row r="358" spans="11:18" ht="15">
      <c r="K358" s="64">
        <f t="shared" si="10"/>
        <v>52017</v>
      </c>
      <c r="L358" s="82">
        <f>SUMIF('Covered Bond Series'!$G$5:$G$9,"&gt;"&amp;'Amortisation Profiles'!K358,'Covered Bond Series'!$E$5:$E$9)</f>
        <v>0</v>
      </c>
      <c r="N358" s="64">
        <f t="shared" si="11"/>
        <v>52017</v>
      </c>
      <c r="O358" s="82">
        <v>30542.4998</v>
      </c>
      <c r="P358" s="82">
        <v>16857.955366</v>
      </c>
      <c r="Q358" s="82">
        <v>6754.718751</v>
      </c>
      <c r="R358" s="82">
        <v>1376.802747</v>
      </c>
    </row>
    <row r="359" spans="11:18" ht="15">
      <c r="K359" s="64">
        <f t="shared" si="10"/>
        <v>52047</v>
      </c>
      <c r="L359" s="82">
        <f>SUMIF('Covered Bond Series'!$G$5:$G$9,"&gt;"&amp;'Amortisation Profiles'!K359,'Covered Bond Series'!$E$5:$E$9)</f>
        <v>0</v>
      </c>
      <c r="N359" s="64">
        <f t="shared" si="11"/>
        <v>52047</v>
      </c>
      <c r="O359" s="82">
        <v>19239.6459</v>
      </c>
      <c r="P359" s="82">
        <v>10601.47355</v>
      </c>
      <c r="Q359" s="82">
        <v>4236.853023</v>
      </c>
      <c r="R359" s="82">
        <v>859.708243</v>
      </c>
    </row>
    <row r="360" spans="11:18" ht="15">
      <c r="K360" s="64">
        <f t="shared" si="10"/>
        <v>52078</v>
      </c>
      <c r="L360" s="82">
        <f>SUMIF('Covered Bond Series'!$G$5:$G$9,"&gt;"&amp;'Amortisation Profiles'!K360,'Covered Bond Series'!$E$5:$E$9)</f>
        <v>0</v>
      </c>
      <c r="N360" s="64">
        <f t="shared" si="11"/>
        <v>52078</v>
      </c>
      <c r="O360" s="82">
        <v>11200.8606</v>
      </c>
      <c r="P360" s="82">
        <v>6161.54169</v>
      </c>
      <c r="Q360" s="82">
        <v>2456.073446</v>
      </c>
      <c r="R360" s="82">
        <v>496.126338</v>
      </c>
    </row>
    <row r="361" spans="11:18" ht="15">
      <c r="K361" s="64">
        <f t="shared" si="10"/>
        <v>52109</v>
      </c>
      <c r="L361" s="82">
        <f>SUMIF('Covered Bond Series'!$G$5:$G$9,"&gt;"&amp;'Amortisation Profiles'!K361,'Covered Bond Series'!$E$5:$E$9)</f>
        <v>0</v>
      </c>
      <c r="N361" s="64">
        <f t="shared" si="11"/>
        <v>52109</v>
      </c>
      <c r="O361" s="82">
        <v>5964.5889</v>
      </c>
      <c r="P361" s="82">
        <v>3275.573543</v>
      </c>
      <c r="Q361" s="82">
        <v>1302.309193</v>
      </c>
      <c r="R361" s="82">
        <v>261.88359</v>
      </c>
    </row>
    <row r="362" spans="11:18" ht="15">
      <c r="K362" s="64">
        <f t="shared" si="10"/>
        <v>52139</v>
      </c>
      <c r="L362" s="82">
        <f>SUMIF('Covered Bond Series'!$G$5:$G$9,"&gt;"&amp;'Amortisation Profiles'!K362,'Covered Bond Series'!$E$5:$E$9)</f>
        <v>0</v>
      </c>
      <c r="N362" s="64">
        <f t="shared" si="11"/>
        <v>52139</v>
      </c>
      <c r="O362" s="82">
        <v>915.695</v>
      </c>
      <c r="P362" s="82">
        <v>502.026359</v>
      </c>
      <c r="Q362" s="82">
        <v>199.0802</v>
      </c>
      <c r="R362" s="82">
        <v>39.85341</v>
      </c>
    </row>
    <row r="363" spans="11:18" ht="15">
      <c r="K363" s="64">
        <f t="shared" si="10"/>
        <v>52170</v>
      </c>
      <c r="L363" s="82">
        <f>SUMIF('Covered Bond Series'!$G$5:$G$9,"&gt;"&amp;'Amortisation Profiles'!K363,'Covered Bond Series'!$E$5:$E$9)</f>
        <v>0</v>
      </c>
      <c r="N363" s="64">
        <f t="shared" si="11"/>
        <v>52170</v>
      </c>
      <c r="O363" s="82">
        <v>-0.0003</v>
      </c>
      <c r="P363" s="82">
        <v>-0.000164</v>
      </c>
      <c r="Q363" s="82">
        <v>-6.5E-05</v>
      </c>
      <c r="R363" s="82">
        <v>-1.3E-05</v>
      </c>
    </row>
    <row r="364" spans="11:18" ht="15">
      <c r="K364" s="64">
        <f t="shared" si="10"/>
        <v>52200</v>
      </c>
      <c r="L364" s="82">
        <f>SUMIF('Covered Bond Series'!$G$5:$G$9,"&gt;"&amp;'Amortisation Profiles'!K364,'Covered Bond Series'!$E$5:$E$9)</f>
        <v>0</v>
      </c>
      <c r="N364" s="64">
        <f t="shared" si="11"/>
        <v>52200</v>
      </c>
      <c r="O364" s="82">
        <v>0</v>
      </c>
      <c r="P364" s="82">
        <v>0</v>
      </c>
      <c r="Q364" s="82">
        <v>0</v>
      </c>
      <c r="R364" s="82">
        <v>0</v>
      </c>
    </row>
    <row r="365" spans="11:18" ht="15">
      <c r="K365" s="64">
        <f t="shared" si="10"/>
        <v>52231</v>
      </c>
      <c r="L365" s="82">
        <f>SUMIF('Covered Bond Series'!$G$5:$G$9,"&gt;"&amp;'Amortisation Profiles'!K365,'Covered Bond Series'!$E$5:$E$9)</f>
        <v>0</v>
      </c>
      <c r="N365" s="64">
        <f t="shared" si="11"/>
        <v>52231</v>
      </c>
      <c r="O365" s="82">
        <v>0</v>
      </c>
      <c r="P365" s="82">
        <v>0</v>
      </c>
      <c r="Q365" s="82">
        <v>0</v>
      </c>
      <c r="R365" s="82">
        <v>0</v>
      </c>
    </row>
  </sheetData>
  <sheetProtection/>
  <mergeCells count="2">
    <mergeCell ref="K3:L3"/>
    <mergeCell ref="N3:R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2"/>
  <headerFooter>
    <oddFooter>&amp;LBelfius Mortgage Pandbrieven Programme - Investor Report&amp;R&amp;P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D30"/>
  <sheetViews>
    <sheetView zoomScalePageLayoutView="0" workbookViewId="0" topLeftCell="A1">
      <selection activeCell="G15" sqref="G15"/>
    </sheetView>
  </sheetViews>
  <sheetFormatPr defaultColWidth="9.140625" defaultRowHeight="15"/>
  <cols>
    <col min="1" max="1" width="3.7109375" style="12" customWidth="1"/>
    <col min="2" max="2" width="5.421875" style="12" customWidth="1"/>
    <col min="3" max="3" width="4.00390625" style="12" customWidth="1"/>
    <col min="4" max="4" width="103.421875" style="12" customWidth="1"/>
    <col min="5" max="5" width="10.57421875" style="12" customWidth="1"/>
    <col min="6" max="16384" width="9.140625" style="12" customWidth="1"/>
  </cols>
  <sheetData>
    <row r="2" ht="21">
      <c r="B2" s="56" t="s">
        <v>399</v>
      </c>
    </row>
    <row r="4" ht="15">
      <c r="C4" s="16" t="s">
        <v>400</v>
      </c>
    </row>
    <row r="5" ht="30">
      <c r="D5" s="136" t="s">
        <v>411</v>
      </c>
    </row>
    <row r="6" ht="30">
      <c r="D6" s="136" t="s">
        <v>401</v>
      </c>
    </row>
    <row r="8" ht="15">
      <c r="C8" s="16" t="s">
        <v>402</v>
      </c>
    </row>
    <row r="9" ht="30">
      <c r="D9" s="136" t="s">
        <v>403</v>
      </c>
    </row>
    <row r="11" ht="15">
      <c r="C11" s="16" t="s">
        <v>128</v>
      </c>
    </row>
    <row r="12" ht="60">
      <c r="D12" s="136" t="s">
        <v>412</v>
      </c>
    </row>
    <row r="14" ht="15">
      <c r="C14" s="16" t="s">
        <v>130</v>
      </c>
    </row>
    <row r="15" ht="75">
      <c r="D15" s="136" t="s">
        <v>413</v>
      </c>
    </row>
    <row r="17" ht="15">
      <c r="C17" s="16" t="s">
        <v>227</v>
      </c>
    </row>
    <row r="18" ht="60">
      <c r="D18" s="136" t="s">
        <v>414</v>
      </c>
    </row>
    <row r="20" ht="15">
      <c r="C20" s="71" t="s">
        <v>228</v>
      </c>
    </row>
    <row r="21" ht="75">
      <c r="D21" s="136" t="s">
        <v>406</v>
      </c>
    </row>
    <row r="23" ht="15">
      <c r="C23" s="16" t="s">
        <v>380</v>
      </c>
    </row>
    <row r="24" ht="15">
      <c r="D24" s="12" t="s">
        <v>408</v>
      </c>
    </row>
    <row r="25" ht="15">
      <c r="D25" s="12" t="s">
        <v>407</v>
      </c>
    </row>
    <row r="26" ht="45">
      <c r="D26" s="136" t="s">
        <v>415</v>
      </c>
    </row>
    <row r="28" ht="15">
      <c r="C28" s="16" t="s">
        <v>409</v>
      </c>
    </row>
    <row r="29" ht="45">
      <c r="D29" s="136" t="s">
        <v>416</v>
      </c>
    </row>
    <row r="30" ht="30">
      <c r="D30" s="136" t="s">
        <v>410</v>
      </c>
    </row>
  </sheetData>
  <sheetProtection/>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headerFooter>
    <oddFooter>&amp;LBelfius Mortgage Pandbrieven Programme - Investor Report&amp;R&amp;P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DEXIA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Degroote Peter (DBB)</dc:creator>
  <cp:keywords/>
  <dc:description/>
  <cp:lastModifiedBy>De Blaere John (Belfius)</cp:lastModifiedBy>
  <cp:lastPrinted>2013-01-17T17:14:27Z</cp:lastPrinted>
  <dcterms:created xsi:type="dcterms:W3CDTF">2013-01-02T09:47:26Z</dcterms:created>
  <dcterms:modified xsi:type="dcterms:W3CDTF">2013-01-18T12:10:14Z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1994616052</vt:i4>
  </property>
  <property fmtid="{D5CDD505-2E9C-101B-9397-08002B2CF9AE}" pid="3" name="_NewReviewCycle">
    <vt:lpwstr/>
  </property>
  <property fmtid="{D5CDD505-2E9C-101B-9397-08002B2CF9AE}" pid="4" name="_EmailSubject">
    <vt:lpwstr>Investor Reporting voor website covered bonds</vt:lpwstr>
  </property>
  <property fmtid="{D5CDD505-2E9C-101B-9397-08002B2CF9AE}" pid="5" name="_AuthorEmail">
    <vt:lpwstr>CAROL.WANDELS@belfius.be</vt:lpwstr>
  </property>
  <property fmtid="{D5CDD505-2E9C-101B-9397-08002B2CF9AE}" pid="6" name="_AuthorEmailDisplayName">
    <vt:lpwstr>Wandels Carol (Belfius)</vt:lpwstr>
  </property>
  <property fmtid="{D5CDD505-2E9C-101B-9397-08002B2CF9AE}" pid="7" name="_PreviousAdHocReviewCycleID">
    <vt:i4>1659358303</vt:i4>
  </property>
  <property fmtid="{D5CDD505-2E9C-101B-9397-08002B2CF9AE}" pid="8" name="_ReviewingToolsShownOnce">
    <vt:lpwstr/>
  </property>
</Properties>
</file>